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35" windowWidth="24915" windowHeight="9525" activeTab="1"/>
  </bookViews>
  <sheets>
    <sheet name="Ohjeet" sheetId="6" r:id="rId1"/>
    <sheet name="Perustiedot" sheetId="1" r:id="rId2"/>
    <sheet name="LANTA" sheetId="3" state="hidden" r:id="rId3"/>
    <sheet name="Kustannusten vertailu" sheetId="15" r:id="rId4"/>
  </sheets>
  <calcPr calcId="125725"/>
</workbook>
</file>

<file path=xl/calcChain.xml><?xml version="1.0" encoding="utf-8"?>
<calcChain xmlns="http://schemas.openxmlformats.org/spreadsheetml/2006/main">
  <c r="L50" i="15"/>
  <c r="D18" l="1"/>
  <c r="D19"/>
  <c r="D20"/>
  <c r="D21"/>
  <c r="D17"/>
  <c r="C18"/>
  <c r="C19"/>
  <c r="C20"/>
  <c r="C21"/>
  <c r="C17"/>
  <c r="E18"/>
  <c r="E19"/>
  <c r="E20"/>
  <c r="E21"/>
  <c r="E17"/>
  <c r="C73"/>
  <c r="C74"/>
  <c r="C75"/>
  <c r="C76"/>
  <c r="C72"/>
  <c r="B73"/>
  <c r="B74"/>
  <c r="B75"/>
  <c r="B76"/>
  <c r="B72"/>
  <c r="B77" l="1"/>
  <c r="D22"/>
  <c r="C22"/>
  <c r="E75"/>
  <c r="F75" s="1"/>
  <c r="E76"/>
  <c r="F76" s="1"/>
  <c r="E74"/>
  <c r="F74" s="1"/>
  <c r="E72"/>
  <c r="F72" s="1"/>
  <c r="E73"/>
  <c r="F73" s="1"/>
  <c r="C62"/>
  <c r="C63"/>
  <c r="C64"/>
  <c r="C65"/>
  <c r="E65" s="1"/>
  <c r="F65" s="1"/>
  <c r="C61"/>
  <c r="C51"/>
  <c r="C52"/>
  <c r="C53"/>
  <c r="C54"/>
  <c r="C50"/>
  <c r="C40"/>
  <c r="C41"/>
  <c r="C42"/>
  <c r="C43"/>
  <c r="C39"/>
  <c r="A9"/>
  <c r="A8"/>
  <c r="A7"/>
  <c r="A6"/>
  <c r="A5"/>
  <c r="B62"/>
  <c r="B63"/>
  <c r="B64"/>
  <c r="B65"/>
  <c r="B61"/>
  <c r="B51"/>
  <c r="B52"/>
  <c r="B53"/>
  <c r="B54"/>
  <c r="B50"/>
  <c r="B40"/>
  <c r="B41"/>
  <c r="B42"/>
  <c r="B43"/>
  <c r="B39"/>
  <c r="A73"/>
  <c r="A74"/>
  <c r="A75"/>
  <c r="A76"/>
  <c r="A72"/>
  <c r="A62"/>
  <c r="A63"/>
  <c r="A64"/>
  <c r="A65"/>
  <c r="A61"/>
  <c r="A51"/>
  <c r="A52"/>
  <c r="A53"/>
  <c r="A54"/>
  <c r="A50"/>
  <c r="A40"/>
  <c r="A41"/>
  <c r="A42"/>
  <c r="A43"/>
  <c r="A39"/>
  <c r="C33"/>
  <c r="B33"/>
  <c r="A33"/>
  <c r="C32"/>
  <c r="L32" s="1"/>
  <c r="B32"/>
  <c r="A32"/>
  <c r="C31"/>
  <c r="B31"/>
  <c r="A31"/>
  <c r="C30"/>
  <c r="B30"/>
  <c r="A30"/>
  <c r="C29"/>
  <c r="B29"/>
  <c r="A29"/>
  <c r="B21"/>
  <c r="F21" s="1"/>
  <c r="A21"/>
  <c r="B20"/>
  <c r="F20" s="1"/>
  <c r="A20"/>
  <c r="B19"/>
  <c r="F19" s="1"/>
  <c r="A19"/>
  <c r="B18"/>
  <c r="F18" s="1"/>
  <c r="A18"/>
  <c r="B17"/>
  <c r="A17"/>
  <c r="B44" l="1"/>
  <c r="L31"/>
  <c r="L54"/>
  <c r="E30"/>
  <c r="F30" s="1"/>
  <c r="G30" s="1"/>
  <c r="H30" s="1"/>
  <c r="L30"/>
  <c r="E53"/>
  <c r="F53" s="1"/>
  <c r="G53" s="1"/>
  <c r="H53" s="1"/>
  <c r="L53"/>
  <c r="B66"/>
  <c r="L29"/>
  <c r="L33"/>
  <c r="B55"/>
  <c r="L52"/>
  <c r="L51"/>
  <c r="B22"/>
  <c r="F17"/>
  <c r="F22" s="1"/>
  <c r="E14" s="1"/>
  <c r="B34"/>
  <c r="E50"/>
  <c r="F50" s="1"/>
  <c r="G50" s="1"/>
  <c r="H50" s="1"/>
  <c r="E51"/>
  <c r="F51" s="1"/>
  <c r="G51" s="1"/>
  <c r="H51" s="1"/>
  <c r="E52"/>
  <c r="F52" s="1"/>
  <c r="G52" s="1"/>
  <c r="H52" s="1"/>
  <c r="E41"/>
  <c r="F41" s="1"/>
  <c r="G41" s="1"/>
  <c r="H41" s="1"/>
  <c r="E63"/>
  <c r="E43"/>
  <c r="F43" s="1"/>
  <c r="G43" s="1"/>
  <c r="H43" s="1"/>
  <c r="D73"/>
  <c r="E42"/>
  <c r="F42" s="1"/>
  <c r="G42" s="1"/>
  <c r="H42" s="1"/>
  <c r="E64"/>
  <c r="E39"/>
  <c r="F39" s="1"/>
  <c r="G39" s="1"/>
  <c r="H39" s="1"/>
  <c r="E40"/>
  <c r="F40" s="1"/>
  <c r="G40" s="1"/>
  <c r="H40" s="1"/>
  <c r="E54"/>
  <c r="F54" s="1"/>
  <c r="G54" s="1"/>
  <c r="H54" s="1"/>
  <c r="E61"/>
  <c r="E62"/>
  <c r="D50"/>
  <c r="I50" s="1"/>
  <c r="D42"/>
  <c r="K42" s="1"/>
  <c r="D54"/>
  <c r="I54" s="1"/>
  <c r="D40"/>
  <c r="D64"/>
  <c r="I64" s="1"/>
  <c r="D75"/>
  <c r="I75" s="1"/>
  <c r="D53"/>
  <c r="I53" s="1"/>
  <c r="G74"/>
  <c r="H74" s="1"/>
  <c r="D41"/>
  <c r="D61"/>
  <c r="G75"/>
  <c r="H75" s="1"/>
  <c r="D76"/>
  <c r="I76" s="1"/>
  <c r="D43"/>
  <c r="D65"/>
  <c r="D72"/>
  <c r="D74"/>
  <c r="D39"/>
  <c r="I39" s="1"/>
  <c r="D62"/>
  <c r="D63"/>
  <c r="D51"/>
  <c r="J51" s="1"/>
  <c r="G73"/>
  <c r="H73" s="1"/>
  <c r="C77"/>
  <c r="G72"/>
  <c r="H72" s="1"/>
  <c r="G76"/>
  <c r="H76" s="1"/>
  <c r="C66"/>
  <c r="G65"/>
  <c r="H65" s="1"/>
  <c r="D52"/>
  <c r="C55"/>
  <c r="C44"/>
  <c r="D33"/>
  <c r="K33" s="1"/>
  <c r="D31"/>
  <c r="I31" s="1"/>
  <c r="D30"/>
  <c r="K30" s="1"/>
  <c r="C34"/>
  <c r="D32"/>
  <c r="J32" s="1"/>
  <c r="E29"/>
  <c r="F29" s="1"/>
  <c r="G29" s="1"/>
  <c r="H29" s="1"/>
  <c r="E33"/>
  <c r="F33" s="1"/>
  <c r="G33" s="1"/>
  <c r="H33" s="1"/>
  <c r="D29"/>
  <c r="E32"/>
  <c r="F32" s="1"/>
  <c r="G32" s="1"/>
  <c r="H32" s="1"/>
  <c r="E31"/>
  <c r="F31" s="1"/>
  <c r="G31" s="1"/>
  <c r="H31" s="1"/>
  <c r="I33" l="1"/>
  <c r="H34"/>
  <c r="F61"/>
  <c r="G61" s="1"/>
  <c r="H61" s="1"/>
  <c r="F64"/>
  <c r="G64" s="1"/>
  <c r="H64" s="1"/>
  <c r="F62"/>
  <c r="G62" s="1"/>
  <c r="H62" s="1"/>
  <c r="F63"/>
  <c r="G63" s="1"/>
  <c r="H63" s="1"/>
  <c r="K73"/>
  <c r="I73"/>
  <c r="J72"/>
  <c r="I72"/>
  <c r="K74"/>
  <c r="I74"/>
  <c r="J73"/>
  <c r="K53"/>
  <c r="J43"/>
  <c r="I43"/>
  <c r="K65"/>
  <c r="I65"/>
  <c r="K63"/>
  <c r="I63"/>
  <c r="J41"/>
  <c r="I41"/>
  <c r="I40"/>
  <c r="J40"/>
  <c r="K61"/>
  <c r="I61"/>
  <c r="J62"/>
  <c r="I62"/>
  <c r="J42"/>
  <c r="I42"/>
  <c r="H55"/>
  <c r="L55"/>
  <c r="J61"/>
  <c r="K50"/>
  <c r="J50"/>
  <c r="K41"/>
  <c r="J75"/>
  <c r="K51"/>
  <c r="K40"/>
  <c r="K75"/>
  <c r="J63"/>
  <c r="J54"/>
  <c r="K54"/>
  <c r="J64"/>
  <c r="K64"/>
  <c r="H77"/>
  <c r="J39"/>
  <c r="K72"/>
  <c r="J53"/>
  <c r="K39"/>
  <c r="K76"/>
  <c r="K43"/>
  <c r="D44"/>
  <c r="J76"/>
  <c r="J74"/>
  <c r="J65"/>
  <c r="D77"/>
  <c r="K62"/>
  <c r="D66"/>
  <c r="I51"/>
  <c r="J52"/>
  <c r="K52"/>
  <c r="I52"/>
  <c r="D55"/>
  <c r="H44"/>
  <c r="I30"/>
  <c r="J31"/>
  <c r="K31"/>
  <c r="J33"/>
  <c r="I32"/>
  <c r="J30"/>
  <c r="K32"/>
  <c r="B4"/>
  <c r="L34"/>
  <c r="D34"/>
  <c r="J29"/>
  <c r="I29"/>
  <c r="K29"/>
  <c r="I34" l="1"/>
  <c r="H66"/>
  <c r="K77"/>
  <c r="K55"/>
  <c r="I77"/>
  <c r="I44"/>
  <c r="J77"/>
  <c r="K66"/>
  <c r="J66"/>
  <c r="J44"/>
  <c r="J55"/>
  <c r="I66"/>
  <c r="K44"/>
  <c r="I55"/>
  <c r="K34"/>
  <c r="J34"/>
  <c r="E26" l="1"/>
  <c r="B5" s="1"/>
  <c r="C5" s="1"/>
  <c r="E47"/>
  <c r="B7" s="1"/>
  <c r="C7" s="1"/>
  <c r="E58"/>
  <c r="B8" s="1"/>
  <c r="C8" s="1"/>
  <c r="E69"/>
  <c r="B9" s="1"/>
  <c r="C9" s="1"/>
  <c r="E36"/>
  <c r="B6" s="1"/>
  <c r="C6" s="1"/>
</calcChain>
</file>

<file path=xl/sharedStrings.xml><?xml version="1.0" encoding="utf-8"?>
<sst xmlns="http://schemas.openxmlformats.org/spreadsheetml/2006/main" count="139" uniqueCount="74">
  <si>
    <t>Peruslohkon nimi</t>
  </si>
  <si>
    <t>Lohkon pinta-ala</t>
  </si>
  <si>
    <t>Väkilannoitteessa annettu N kg/ha</t>
  </si>
  <si>
    <t>Väkilannoitteessa annettu P kg/ha</t>
  </si>
  <si>
    <t>Lantaa m3/ha</t>
  </si>
  <si>
    <t>Lannan kuljetus</t>
  </si>
  <si>
    <t>Oletukset:</t>
  </si>
  <si>
    <t>Kuljetusmatka</t>
  </si>
  <si>
    <t>Lantaa/lohko</t>
  </si>
  <si>
    <t>LASKELMA VÄKILANNOITTEIDEN KORVAAMISESTA LANNALLA</t>
  </si>
  <si>
    <t>Huomioitavaa/oletukset</t>
  </si>
  <si>
    <t>Hinnat:</t>
  </si>
  <si>
    <t>km</t>
  </si>
  <si>
    <t>Salpietarin hinta</t>
  </si>
  <si>
    <t>€/kg</t>
  </si>
  <si>
    <t>€/m3</t>
  </si>
  <si>
    <t>€ /m3/km</t>
  </si>
  <si>
    <t>KUSTANNUS YHTEENSÄ</t>
  </si>
  <si>
    <t>Sian lietelanta</t>
  </si>
  <si>
    <t>Lannan hinta</t>
  </si>
  <si>
    <t>(ProAgria, Tuottopehtori 2012)</t>
  </si>
  <si>
    <t>kotopelto</t>
  </si>
  <si>
    <t>rantalohko</t>
  </si>
  <si>
    <t>pikkuinen</t>
  </si>
  <si>
    <t>vanha niitty</t>
  </si>
  <si>
    <t>Erityistuki</t>
  </si>
  <si>
    <t>€/ha</t>
  </si>
  <si>
    <t>Lietteen sijoittaminen peltoon</t>
  </si>
  <si>
    <t>metsän reuna</t>
  </si>
  <si>
    <t>Typpi (liukoinen), kg/m3</t>
  </si>
  <si>
    <t>Fosfori (kasveille käyttökelpoista) kg/m3</t>
  </si>
  <si>
    <t>Sian kuivikelanta</t>
  </si>
  <si>
    <t>Naudan lietelanta</t>
  </si>
  <si>
    <t>Naudan kuivikelanta</t>
  </si>
  <si>
    <t>Kanan kuivikelanta</t>
  </si>
  <si>
    <t>Lantalaji</t>
  </si>
  <si>
    <t>Lietelannan sijoitus</t>
  </si>
  <si>
    <t>Kuivalannan levitys</t>
  </si>
  <si>
    <t>Väkilannoitteet</t>
  </si>
  <si>
    <t>Lannoitusvaihtoehto</t>
  </si>
  <si>
    <t>Lannan ravinnesisältö, taulukkoarvot</t>
  </si>
  <si>
    <t>OMAT TIETONI:</t>
  </si>
  <si>
    <t>LANNOITUSKUSTANNUSTEN LASKURI</t>
  </si>
  <si>
    <t>Sian lietelanta + salpietari</t>
  </si>
  <si>
    <t>Sian kuivikelanta + salpietari</t>
  </si>
  <si>
    <t>Naudan lietelanta + salpietari</t>
  </si>
  <si>
    <t>Naudan kuivikelanta + salpietari</t>
  </si>
  <si>
    <t>Kanan kuivikelanta + salpietari</t>
  </si>
  <si>
    <t>Väkilannoite typen hinta</t>
  </si>
  <si>
    <t>Väkilannoite fosforin hinta</t>
  </si>
  <si>
    <t>YHTEENSÄ</t>
  </si>
  <si>
    <t>Säästö verrattuna väkilannoitteisiin</t>
  </si>
  <si>
    <t xml:space="preserve"> - </t>
  </si>
  <si>
    <t>Kustannus</t>
  </si>
  <si>
    <t>sijoitus</t>
  </si>
  <si>
    <t>kuljetus</t>
  </si>
  <si>
    <t>hinta</t>
  </si>
  <si>
    <t>N lannassa kg/ha</t>
  </si>
  <si>
    <t>Yhteensä €/ha</t>
  </si>
  <si>
    <t>Yhteensä €/lohko</t>
  </si>
  <si>
    <t>Lohko</t>
  </si>
  <si>
    <t>Pinta-ala</t>
  </si>
  <si>
    <t>N lannoite €/ha</t>
  </si>
  <si>
    <t>P lannoite €/ha</t>
  </si>
  <si>
    <t>Tulo erityistuesta</t>
  </si>
  <si>
    <t>Kustannukset lannan käytöstä</t>
  </si>
  <si>
    <t>Lisä N kg/ha</t>
  </si>
  <si>
    <t>Lisä N kg/lohko</t>
  </si>
  <si>
    <t>Lisä N €/lohko</t>
  </si>
  <si>
    <t>levitys</t>
  </si>
  <si>
    <t>ERITTELY ERI VAIHTOEHDOISTA:</t>
  </si>
  <si>
    <t>LASKENNAN TULOKSET:</t>
  </si>
  <si>
    <t>(MTT:n ja TEHO Plussan fosforilaskurista, vuoden 2012 väkilannoitteiden hinnoista)</t>
  </si>
  <si>
    <t>(TTS:n tiedote, Maataloustyö ja tuottavuus 3/2013. Konetyön kustannukset ja tilastolliset urakointihinnat)</t>
  </si>
</sst>
</file>

<file path=xl/styles.xml><?xml version="1.0" encoding="utf-8"?>
<styleSheet xmlns="http://schemas.openxmlformats.org/spreadsheetml/2006/main">
  <numFmts count="4">
    <numFmt numFmtId="43" formatCode="_-* #,##0.00\ _€_-;\-* #,##0.00\ _€_-;_-* &quot;-&quot;??\ _€_-;_-@_-"/>
    <numFmt numFmtId="164" formatCode="0.0"/>
    <numFmt numFmtId="165" formatCode="#,##0.00\ &quot;€&quot;"/>
    <numFmt numFmtId="166" formatCode="#,##0\ &quot;€&quot;"/>
  </numFmts>
  <fonts count="24">
    <font>
      <sz val="11"/>
      <color theme="1"/>
      <name val="Calibri"/>
      <family val="2"/>
      <scheme val="minor"/>
    </font>
    <font>
      <sz val="11"/>
      <color rgb="FF3F3F76"/>
      <name val="Calibri"/>
      <family val="2"/>
      <scheme val="minor"/>
    </font>
    <font>
      <sz val="10"/>
      <name val="Arial"/>
      <family val="2"/>
    </font>
    <font>
      <sz val="10"/>
      <color indexed="8"/>
      <name val="MS Sans Serif"/>
      <family val="2"/>
    </font>
    <font>
      <sz val="11"/>
      <color indexed="8"/>
      <name val="Calibri"/>
      <family val="2"/>
    </font>
    <font>
      <sz val="10"/>
      <color indexed="8"/>
      <name val="Calibri"/>
      <family val="2"/>
    </font>
    <font>
      <sz val="10"/>
      <color theme="1"/>
      <name val="Calibri"/>
      <family val="2"/>
      <scheme val="minor"/>
    </font>
    <font>
      <b/>
      <sz val="16"/>
      <color theme="3"/>
      <name val="Franklin Gothic Book"/>
      <family val="2"/>
    </font>
    <font>
      <sz val="11"/>
      <color theme="1"/>
      <name val="Franklin Gothic Book"/>
      <family val="2"/>
    </font>
    <font>
      <sz val="10"/>
      <color theme="1"/>
      <name val="Calibri"/>
      <family val="2"/>
    </font>
    <font>
      <sz val="13"/>
      <color theme="1"/>
      <name val="Calibri"/>
      <family val="2"/>
      <scheme val="minor"/>
    </font>
    <font>
      <sz val="11"/>
      <color indexed="8"/>
      <name val="Franklin Gothic Book"/>
      <family val="2"/>
    </font>
    <font>
      <sz val="16"/>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theme="0"/>
      <name val="Franklin Gothic Book"/>
      <family val="2"/>
    </font>
    <font>
      <b/>
      <sz val="18"/>
      <color rgb="FF254E9B"/>
      <name val="Calibri"/>
      <family val="2"/>
      <scheme val="minor"/>
    </font>
    <font>
      <b/>
      <sz val="19"/>
      <color rgb="FF254E9B"/>
      <name val="Calibri"/>
      <family val="2"/>
      <scheme val="minor"/>
    </font>
    <font>
      <b/>
      <sz val="11"/>
      <color theme="1"/>
      <name val="Calibri"/>
      <family val="2"/>
      <scheme val="minor"/>
    </font>
    <font>
      <b/>
      <sz val="10"/>
      <color indexed="8"/>
      <name val="Calibri"/>
      <family val="2"/>
    </font>
    <font>
      <b/>
      <sz val="10"/>
      <color theme="1"/>
      <name val="Calibri"/>
      <family val="2"/>
      <scheme val="minor"/>
    </font>
    <font>
      <i/>
      <sz val="11"/>
      <color theme="1"/>
      <name val="Calibri"/>
      <family val="2"/>
      <scheme val="minor"/>
    </font>
    <font>
      <b/>
      <sz val="13"/>
      <color theme="1"/>
      <name val="Calibri"/>
      <family val="2"/>
      <scheme val="minor"/>
    </font>
  </fonts>
  <fills count="9">
    <fill>
      <patternFill patternType="none"/>
    </fill>
    <fill>
      <patternFill patternType="gray125"/>
    </fill>
    <fill>
      <patternFill patternType="solid">
        <fgColor rgb="FFADAED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B3D090"/>
        <bgColor theme="6"/>
      </patternFill>
    </fill>
    <fill>
      <patternFill patternType="solid">
        <fgColor rgb="FFB3D090"/>
        <bgColor theme="6" tint="0.79998168889431442"/>
      </patternFill>
    </fill>
    <fill>
      <patternFill patternType="solid">
        <fgColor rgb="FFB3D090"/>
        <bgColor indexed="64"/>
      </patternFill>
    </fill>
    <fill>
      <patternFill patternType="solid">
        <fgColor rgb="FF43250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thin">
        <color indexed="64"/>
      </top>
      <bottom/>
      <diagonal/>
    </border>
    <border>
      <left/>
      <right/>
      <top/>
      <bottom style="medium">
        <color theme="3"/>
      </bottom>
      <diagonal/>
    </border>
  </borders>
  <cellStyleXfs count="17">
    <xf numFmtId="0" fontId="0" fillId="0" borderId="0"/>
    <xf numFmtId="43" fontId="4" fillId="0" borderId="0" applyFont="0" applyFill="0" applyBorder="0" applyAlignment="0" applyProtection="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 borderId="1" applyNumberFormat="0" applyAlignment="0" applyProtection="0"/>
    <xf numFmtId="0" fontId="7" fillId="0" borderId="0" applyNumberFormat="0" applyFill="0" applyBorder="0" applyAlignment="0" applyProtection="0"/>
    <xf numFmtId="0" fontId="6" fillId="0" borderId="0"/>
    <xf numFmtId="0" fontId="9" fillId="2" borderId="8">
      <alignment horizontal="justify" wrapText="1"/>
    </xf>
  </cellStyleXfs>
  <cellXfs count="100">
    <xf numFmtId="0" fontId="0" fillId="0" borderId="0" xfId="0"/>
    <xf numFmtId="2" fontId="0" fillId="0" borderId="0" xfId="0" applyNumberFormat="1"/>
    <xf numFmtId="0" fontId="0" fillId="0" borderId="0" xfId="0"/>
    <xf numFmtId="0" fontId="0" fillId="0" borderId="0" xfId="0" applyBorder="1"/>
    <xf numFmtId="0" fontId="0" fillId="0" borderId="0" xfId="0" applyFill="1" applyBorder="1"/>
    <xf numFmtId="49" fontId="5" fillId="0" borderId="6" xfId="0" applyNumberFormat="1" applyFont="1" applyFill="1" applyBorder="1" applyAlignment="1">
      <alignment horizontal="left"/>
    </xf>
    <xf numFmtId="49" fontId="5" fillId="0" borderId="7" xfId="0" applyNumberFormat="1" applyFont="1" applyFill="1" applyBorder="1" applyAlignment="1">
      <alignment horizontal="left"/>
    </xf>
    <xf numFmtId="49" fontId="5" fillId="0" borderId="4" xfId="0" applyNumberFormat="1" applyFont="1" applyFill="1" applyBorder="1" applyAlignment="1">
      <alignment horizontal="left"/>
    </xf>
    <xf numFmtId="165" fontId="0" fillId="0" borderId="0" xfId="0" applyNumberFormat="1"/>
    <xf numFmtId="164" fontId="0" fillId="0" borderId="10" xfId="0" applyNumberFormat="1" applyBorder="1"/>
    <xf numFmtId="0" fontId="10" fillId="0" borderId="0" xfId="0" applyFont="1"/>
    <xf numFmtId="164" fontId="0" fillId="0" borderId="9" xfId="0" applyNumberFormat="1" applyBorder="1"/>
    <xf numFmtId="0" fontId="0" fillId="0" borderId="0" xfId="0" applyFill="1"/>
    <xf numFmtId="0" fontId="0" fillId="0" borderId="0" xfId="0" applyFill="1" applyBorder="1" applyAlignment="1">
      <alignment wrapText="1"/>
    </xf>
    <xf numFmtId="164" fontId="0" fillId="0" borderId="0" xfId="0" applyNumberFormat="1" applyFill="1" applyBorder="1"/>
    <xf numFmtId="164" fontId="0" fillId="0" borderId="0" xfId="0" applyNumberFormat="1" applyFill="1" applyBorder="1" applyAlignment="1">
      <alignment horizontal="center"/>
    </xf>
    <xf numFmtId="164" fontId="0" fillId="0" borderId="0" xfId="0" applyNumberFormat="1" applyFill="1" applyBorder="1" applyAlignment="1">
      <alignment horizontal="center" vertical="center"/>
    </xf>
    <xf numFmtId="0" fontId="5" fillId="0" borderId="4" xfId="0" applyNumberFormat="1" applyFont="1" applyFill="1" applyBorder="1" applyAlignment="1">
      <alignment horizontal="left"/>
    </xf>
    <xf numFmtId="1" fontId="0" fillId="0" borderId="10" xfId="0" applyNumberFormat="1" applyBorder="1"/>
    <xf numFmtId="165" fontId="0" fillId="0" borderId="0" xfId="0" applyNumberFormat="1" applyBorder="1"/>
    <xf numFmtId="164" fontId="0" fillId="0" borderId="0" xfId="0" applyNumberFormat="1" applyBorder="1" applyAlignment="1">
      <alignment horizontal="center"/>
    </xf>
    <xf numFmtId="165" fontId="0" fillId="0" borderId="0" xfId="0" applyNumberFormat="1" applyBorder="1" applyAlignment="1">
      <alignment horizontal="right"/>
    </xf>
    <xf numFmtId="165" fontId="0" fillId="0" borderId="12" xfId="0" applyNumberFormat="1" applyBorder="1" applyAlignment="1">
      <alignment horizontal="right"/>
    </xf>
    <xf numFmtId="0" fontId="0" fillId="0" borderId="0" xfId="0" applyFont="1" applyBorder="1"/>
    <xf numFmtId="165" fontId="0" fillId="0" borderId="0" xfId="0" applyNumberFormat="1" applyFont="1" applyBorder="1"/>
    <xf numFmtId="0" fontId="14" fillId="0" borderId="0" xfId="0" applyFont="1"/>
    <xf numFmtId="0" fontId="14" fillId="0" borderId="9" xfId="0" applyFont="1" applyBorder="1" applyAlignment="1"/>
    <xf numFmtId="0" fontId="15" fillId="0" borderId="0" xfId="0" applyFont="1"/>
    <xf numFmtId="0" fontId="13" fillId="0" borderId="0" xfId="0" applyFont="1" applyFill="1" applyBorder="1"/>
    <xf numFmtId="165" fontId="13" fillId="0" borderId="0" xfId="0" applyNumberFormat="1" applyFont="1" applyFill="1" applyBorder="1"/>
    <xf numFmtId="0" fontId="0" fillId="0" borderId="10" xfId="0" applyFill="1" applyBorder="1"/>
    <xf numFmtId="0" fontId="0" fillId="0" borderId="11" xfId="0" applyBorder="1"/>
    <xf numFmtId="0" fontId="17" fillId="0" borderId="0" xfId="0" applyFont="1"/>
    <xf numFmtId="166" fontId="0" fillId="4" borderId="2" xfId="0" applyNumberFormat="1" applyFill="1" applyBorder="1"/>
    <xf numFmtId="0" fontId="0" fillId="4" borderId="2" xfId="0" applyFill="1" applyBorder="1"/>
    <xf numFmtId="0" fontId="8" fillId="7" borderId="2" xfId="0" applyFont="1" applyFill="1" applyBorder="1" applyAlignment="1">
      <alignment horizontal="left" vertical="top" wrapText="1"/>
    </xf>
    <xf numFmtId="0" fontId="0" fillId="7" borderId="2" xfId="0" applyFill="1" applyBorder="1"/>
    <xf numFmtId="0" fontId="0" fillId="7" borderId="14" xfId="0" applyFill="1" applyBorder="1"/>
    <xf numFmtId="0" fontId="0" fillId="7" borderId="5" xfId="0" applyFill="1" applyBorder="1"/>
    <xf numFmtId="49" fontId="11" fillId="4" borderId="15" xfId="0" applyNumberFormat="1" applyFont="1" applyFill="1" applyBorder="1" applyAlignment="1">
      <alignment horizontal="center"/>
    </xf>
    <xf numFmtId="164" fontId="11" fillId="4" borderId="2" xfId="0" applyNumberFormat="1" applyFont="1" applyFill="1" applyBorder="1" applyAlignment="1">
      <alignment horizontal="center"/>
    </xf>
    <xf numFmtId="1" fontId="11" fillId="4" borderId="2" xfId="0" applyNumberFormat="1" applyFont="1" applyFill="1" applyBorder="1" applyAlignment="1">
      <alignment horizontal="center"/>
    </xf>
    <xf numFmtId="49" fontId="11" fillId="4" borderId="17" xfId="0" applyNumberFormat="1" applyFont="1" applyFill="1" applyBorder="1" applyAlignment="1">
      <alignment horizontal="center"/>
    </xf>
    <xf numFmtId="164" fontId="11" fillId="4" borderId="18" xfId="0" applyNumberFormat="1" applyFont="1" applyFill="1" applyBorder="1" applyAlignment="1">
      <alignment horizontal="center"/>
    </xf>
    <xf numFmtId="1" fontId="11" fillId="4" borderId="18" xfId="0" applyNumberFormat="1" applyFont="1" applyFill="1" applyBorder="1" applyAlignment="1">
      <alignment horizontal="center"/>
    </xf>
    <xf numFmtId="0" fontId="14" fillId="0" borderId="0" xfId="0" applyFont="1" applyFill="1" applyBorder="1" applyAlignment="1"/>
    <xf numFmtId="2" fontId="16" fillId="0" borderId="0" xfId="2" applyNumberFormat="1" applyFont="1" applyFill="1" applyBorder="1" applyAlignment="1">
      <alignment horizontal="left" wrapText="1"/>
    </xf>
    <xf numFmtId="1" fontId="11" fillId="0" borderId="0" xfId="0" applyNumberFormat="1" applyFont="1" applyFill="1" applyBorder="1" applyAlignment="1">
      <alignment horizontal="center"/>
    </xf>
    <xf numFmtId="165" fontId="11" fillId="0" borderId="0" xfId="0" applyNumberFormat="1" applyFont="1" applyFill="1" applyBorder="1" applyAlignment="1">
      <alignment horizontal="center"/>
    </xf>
    <xf numFmtId="0" fontId="16" fillId="8" borderId="23" xfId="2" applyFont="1" applyFill="1" applyBorder="1" applyAlignment="1">
      <alignment horizontal="left"/>
    </xf>
    <xf numFmtId="2" fontId="16" fillId="8" borderId="24" xfId="2" applyNumberFormat="1" applyFont="1" applyFill="1" applyBorder="1" applyAlignment="1">
      <alignment horizontal="left" wrapText="1"/>
    </xf>
    <xf numFmtId="0" fontId="16" fillId="8" borderId="24" xfId="0" applyFont="1" applyFill="1" applyBorder="1" applyAlignment="1">
      <alignment horizontal="left" wrapText="1"/>
    </xf>
    <xf numFmtId="2" fontId="16" fillId="8" borderId="25" xfId="2" applyNumberFormat="1" applyFont="1" applyFill="1" applyBorder="1" applyAlignment="1">
      <alignment horizontal="left" wrapText="1"/>
    </xf>
    <xf numFmtId="166" fontId="0" fillId="0" borderId="10" xfId="0" applyNumberFormat="1" applyBorder="1"/>
    <xf numFmtId="166" fontId="0" fillId="0" borderId="3" xfId="0" applyNumberFormat="1" applyBorder="1"/>
    <xf numFmtId="164" fontId="0" fillId="0" borderId="11" xfId="0" applyNumberFormat="1" applyBorder="1"/>
    <xf numFmtId="1" fontId="11" fillId="4" borderId="16" xfId="0" applyNumberFormat="1" applyFont="1" applyFill="1" applyBorder="1" applyAlignment="1">
      <alignment horizontal="center"/>
    </xf>
    <xf numFmtId="1" fontId="11" fillId="4" borderId="19" xfId="0" applyNumberFormat="1" applyFont="1" applyFill="1" applyBorder="1" applyAlignment="1">
      <alignment horizontal="center"/>
    </xf>
    <xf numFmtId="49" fontId="20" fillId="0" borderId="0" xfId="0" applyNumberFormat="1" applyFont="1" applyFill="1" applyBorder="1" applyAlignment="1">
      <alignment horizontal="left"/>
    </xf>
    <xf numFmtId="164" fontId="19" fillId="0" borderId="0" xfId="0" applyNumberFormat="1" applyFont="1"/>
    <xf numFmtId="166" fontId="19" fillId="0" borderId="0" xfId="0" applyNumberFormat="1" applyFont="1"/>
    <xf numFmtId="2" fontId="0" fillId="0" borderId="0" xfId="0" applyNumberFormat="1" applyAlignment="1">
      <alignment horizontal="center"/>
    </xf>
    <xf numFmtId="0" fontId="0" fillId="0" borderId="0" xfId="0" applyAlignment="1">
      <alignment horizontal="center"/>
    </xf>
    <xf numFmtId="0" fontId="0" fillId="0" borderId="0" xfId="0" applyBorder="1" applyAlignment="1">
      <alignment horizontal="center"/>
    </xf>
    <xf numFmtId="0" fontId="21" fillId="0" borderId="0" xfId="0" applyFont="1"/>
    <xf numFmtId="0" fontId="19" fillId="0" borderId="0" xfId="0" applyFont="1"/>
    <xf numFmtId="165" fontId="19" fillId="0" borderId="0" xfId="0" applyNumberFormat="1" applyFont="1"/>
    <xf numFmtId="1" fontId="0" fillId="0" borderId="9" xfId="0" applyNumberFormat="1" applyBorder="1"/>
    <xf numFmtId="1" fontId="19" fillId="0" borderId="0" xfId="0" applyNumberFormat="1" applyFont="1"/>
    <xf numFmtId="0" fontId="14" fillId="0" borderId="0" xfId="0" applyFont="1" applyBorder="1" applyAlignment="1"/>
    <xf numFmtId="0" fontId="8" fillId="0" borderId="0" xfId="0" applyFont="1" applyFill="1" applyBorder="1" applyAlignment="1">
      <alignment horizontal="left" vertical="top" wrapText="1"/>
    </xf>
    <xf numFmtId="166" fontId="0" fillId="0" borderId="3" xfId="0" applyNumberFormat="1" applyBorder="1" applyAlignment="1">
      <alignment horizontal="right"/>
    </xf>
    <xf numFmtId="166" fontId="0" fillId="0" borderId="9" xfId="0" applyNumberFormat="1" applyBorder="1"/>
    <xf numFmtId="166" fontId="0" fillId="0" borderId="0" xfId="0" applyNumberFormat="1" applyBorder="1"/>
    <xf numFmtId="165" fontId="19" fillId="0" borderId="0" xfId="0" applyNumberFormat="1" applyFont="1" applyBorder="1"/>
    <xf numFmtId="0" fontId="21" fillId="0" borderId="0" xfId="0" applyNumberFormat="1" applyFont="1"/>
    <xf numFmtId="166" fontId="0" fillId="0" borderId="13" xfId="0" applyNumberFormat="1" applyBorder="1"/>
    <xf numFmtId="3" fontId="0" fillId="0" borderId="10" xfId="0" applyNumberFormat="1" applyBorder="1"/>
    <xf numFmtId="3" fontId="0" fillId="0" borderId="9" xfId="0" applyNumberFormat="1" applyBorder="1"/>
    <xf numFmtId="166" fontId="19" fillId="0" borderId="0" xfId="0" applyNumberFormat="1" applyFont="1" applyBorder="1"/>
    <xf numFmtId="166" fontId="0" fillId="0" borderId="26" xfId="0" applyNumberFormat="1" applyBorder="1" applyAlignment="1">
      <alignment horizontal="right"/>
    </xf>
    <xf numFmtId="0" fontId="18" fillId="0" borderId="27" xfId="0" applyFont="1" applyBorder="1"/>
    <xf numFmtId="165" fontId="0" fillId="0" borderId="27" xfId="0" applyNumberFormat="1" applyFont="1" applyBorder="1"/>
    <xf numFmtId="0" fontId="0" fillId="0" borderId="27" xfId="0" applyBorder="1"/>
    <xf numFmtId="0" fontId="10" fillId="6" borderId="2" xfId="0" applyFont="1" applyFill="1" applyBorder="1"/>
    <xf numFmtId="166" fontId="10" fillId="6" borderId="2" xfId="0" applyNumberFormat="1" applyFont="1" applyFill="1" applyBorder="1" applyAlignment="1">
      <alignment horizontal="center"/>
    </xf>
    <xf numFmtId="0" fontId="10" fillId="7" borderId="2" xfId="0" applyFont="1" applyFill="1" applyBorder="1"/>
    <xf numFmtId="166" fontId="10" fillId="7" borderId="2" xfId="0" applyNumberFormat="1" applyFont="1" applyFill="1" applyBorder="1" applyAlignment="1">
      <alignment horizontal="center"/>
    </xf>
    <xf numFmtId="0" fontId="23" fillId="5" borderId="2" xfId="0" applyFont="1" applyFill="1" applyBorder="1" applyAlignment="1">
      <alignment horizontal="center" vertical="center"/>
    </xf>
    <xf numFmtId="0" fontId="23" fillId="5" borderId="2" xfId="0" applyFont="1" applyFill="1" applyBorder="1" applyAlignment="1">
      <alignment horizontal="center" vertical="center" wrapText="1"/>
    </xf>
    <xf numFmtId="49" fontId="10" fillId="5" borderId="2" xfId="0" applyNumberFormat="1" applyFont="1" applyFill="1" applyBorder="1" applyAlignment="1">
      <alignment horizontal="center"/>
    </xf>
    <xf numFmtId="166" fontId="10" fillId="5" borderId="2" xfId="0" applyNumberFormat="1" applyFont="1" applyFill="1" applyBorder="1" applyAlignment="1">
      <alignment horizontal="center"/>
    </xf>
    <xf numFmtId="0" fontId="12" fillId="7" borderId="7" xfId="0" applyFont="1" applyFill="1" applyBorder="1" applyAlignment="1">
      <alignment horizontal="center"/>
    </xf>
    <xf numFmtId="0" fontId="12" fillId="7" borderId="11" xfId="0" applyFont="1" applyFill="1" applyBorder="1" applyAlignment="1">
      <alignment horizontal="center"/>
    </xf>
    <xf numFmtId="0" fontId="14" fillId="0" borderId="20" xfId="0" applyFont="1" applyFill="1" applyBorder="1" applyAlignment="1">
      <alignment horizontal="center"/>
    </xf>
    <xf numFmtId="0" fontId="14" fillId="0" borderId="21" xfId="0" applyFont="1" applyFill="1" applyBorder="1" applyAlignment="1">
      <alignment horizontal="center"/>
    </xf>
    <xf numFmtId="0" fontId="14" fillId="0" borderId="22" xfId="0" applyFont="1" applyFill="1" applyBorder="1" applyAlignment="1">
      <alignment horizontal="center"/>
    </xf>
    <xf numFmtId="0" fontId="22" fillId="0" borderId="0" xfId="0" applyFont="1" applyBorder="1" applyAlignment="1">
      <alignment horizontal="left"/>
    </xf>
    <xf numFmtId="0" fontId="0" fillId="0" borderId="0" xfId="0" applyAlignment="1">
      <alignment horizontal="center" wrapText="1"/>
    </xf>
    <xf numFmtId="0" fontId="0" fillId="0" borderId="9" xfId="0" applyBorder="1" applyAlignment="1">
      <alignment horizontal="center" wrapText="1"/>
    </xf>
  </cellXfs>
  <cellStyles count="17">
    <cellStyle name="Erotin 2" xfId="1"/>
    <cellStyle name="Normaali" xfId="0" builtinId="0"/>
    <cellStyle name="Normaali 2" xfId="2"/>
    <cellStyle name="Normaali 2 2" xfId="3"/>
    <cellStyle name="Normaali 3" xfId="4"/>
    <cellStyle name="Normaali 3 2" xfId="5"/>
    <cellStyle name="Normaali 4" xfId="6"/>
    <cellStyle name="Normaali 4 2" xfId="7"/>
    <cellStyle name="Normaali 5" xfId="8"/>
    <cellStyle name="Normaali 5 2" xfId="9"/>
    <cellStyle name="Normaali 6" xfId="10"/>
    <cellStyle name="Normaali 6 2" xfId="11"/>
    <cellStyle name="Normaali 7" xfId="15"/>
    <cellStyle name="Normaali 7 2" xfId="12"/>
    <cellStyle name="Otsikko 5" xfId="14"/>
    <cellStyle name="Syöttö 2" xfId="13"/>
    <cellStyle name="TEHOtaulukko" xfId="16"/>
  </cellStyles>
  <dxfs count="9">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u val="none"/>
      </font>
      <fill>
        <patternFill>
          <bgColor rgb="FFD6D6EA"/>
        </patternFill>
      </fill>
      <border>
        <left style="thin">
          <color auto="1"/>
        </left>
        <right style="thin">
          <color auto="1"/>
        </right>
        <top style="thin">
          <color auto="1"/>
        </top>
        <bottom style="thin">
          <color auto="1"/>
        </bottom>
        <vertical style="thin">
          <color auto="1"/>
        </vertical>
        <horizontal style="thin">
          <color auto="1"/>
        </horizontal>
      </border>
    </dxf>
    <dxf>
      <font>
        <b/>
        <i val="0"/>
      </font>
      <fill>
        <patternFill>
          <bgColor rgb="FFADAED3"/>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u val="none"/>
      </font>
      <fill>
        <patternFill>
          <bgColor rgb="FFD6D6EA"/>
        </patternFill>
      </fill>
      <border>
        <left style="thin">
          <color auto="1"/>
        </left>
        <right style="thin">
          <color auto="1"/>
        </right>
        <top style="thin">
          <color auto="1"/>
        </top>
        <bottom style="thin">
          <color auto="1"/>
        </bottom>
        <vertical style="thin">
          <color auto="1"/>
        </vertical>
        <horizontal style="thin">
          <color auto="1"/>
        </horizontal>
      </border>
    </dxf>
    <dxf>
      <font>
        <b/>
        <i val="0"/>
      </font>
      <fill>
        <patternFill>
          <bgColor rgb="FFADAED3"/>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u val="none"/>
      </font>
      <fill>
        <patternFill>
          <bgColor rgb="FFD6D6EA"/>
        </patternFill>
      </fill>
      <border>
        <left style="thin">
          <color auto="1"/>
        </left>
        <right style="thin">
          <color auto="1"/>
        </right>
        <top style="thin">
          <color auto="1"/>
        </top>
        <bottom style="thin">
          <color auto="1"/>
        </bottom>
        <vertical style="thin">
          <color auto="1"/>
        </vertical>
        <horizontal style="thin">
          <color auto="1"/>
        </horizontal>
      </border>
    </dxf>
    <dxf>
      <font>
        <b/>
        <i val="0"/>
      </font>
      <fill>
        <patternFill>
          <bgColor rgb="FFADAED3"/>
        </patternFill>
      </fill>
      <border>
        <left style="thin">
          <color auto="1"/>
        </left>
        <right style="thin">
          <color auto="1"/>
        </right>
        <top style="thin">
          <color auto="1"/>
        </top>
        <bottom style="thin">
          <color auto="1"/>
        </bottom>
        <vertical style="thin">
          <color auto="1"/>
        </vertical>
        <horizontal style="thin">
          <color auto="1"/>
        </horizontal>
      </border>
    </dxf>
  </dxfs>
  <tableStyles count="3" defaultTableStyle="TableStyleMedium9" defaultPivotStyle="PivotStyleLight16">
    <tableStyle name="TEHOtaulukko" pivot="0" count="3">
      <tableStyleElement type="headerRow" dxfId="8"/>
      <tableStyleElement type="firstRowStripe" dxfId="7"/>
      <tableStyleElement type="secondRowStripe" dxfId="6"/>
    </tableStyle>
    <tableStyle name="TEHOtaulukko 3" pivot="0" count="3">
      <tableStyleElement type="headerRow" dxfId="5"/>
      <tableStyleElement type="firstRowStripe" dxfId="4"/>
      <tableStyleElement type="secondRowStripe" dxfId="3"/>
    </tableStyle>
    <tableStyle name="TEHOtaulukko 4" pivot="0" count="3">
      <tableStyleElement type="headerRow" dxfId="2"/>
      <tableStyleElement type="firstRowStripe" dxfId="1"/>
      <tableStyleElement type="secondRowStripe" dxfId="0"/>
    </tableStyle>
  </tableStyles>
  <colors>
    <mruColors>
      <color rgb="FFB3D090"/>
      <color rgb="FF254E9B"/>
      <color rgb="FF432500"/>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76201</xdr:rowOff>
    </xdr:from>
    <xdr:to>
      <xdr:col>13</xdr:col>
      <xdr:colOff>209550</xdr:colOff>
      <xdr:row>20</xdr:row>
      <xdr:rowOff>76201</xdr:rowOff>
    </xdr:to>
    <xdr:sp macro="" textlink="">
      <xdr:nvSpPr>
        <xdr:cNvPr id="2" name="Tekstikehys 1"/>
        <xdr:cNvSpPr txBox="1"/>
      </xdr:nvSpPr>
      <xdr:spPr>
        <a:xfrm>
          <a:off x="628650" y="1704976"/>
          <a:ext cx="7505700" cy="2286000"/>
        </a:xfrm>
        <a:prstGeom prst="rect">
          <a:avLst/>
        </a:prstGeom>
        <a:solidFill>
          <a:schemeClr val="accent5">
            <a:lumMod val="20000"/>
            <a:lumOff val="80000"/>
          </a:schemeClr>
        </a:solidFill>
        <a:ln>
          <a:solidFill>
            <a:srgbClr val="254E9B"/>
          </a:solidFill>
        </a:ln>
      </xdr:spPr>
      <xdr:style>
        <a:lnRef idx="2">
          <a:schemeClr val="accent3"/>
        </a:lnRef>
        <a:fillRef idx="1">
          <a:schemeClr val="lt1"/>
        </a:fillRef>
        <a:effectRef idx="0">
          <a:schemeClr val="accent3"/>
        </a:effectRef>
        <a:fontRef idx="minor">
          <a:schemeClr val="dk1"/>
        </a:fontRef>
      </xdr:style>
      <xdr:txBody>
        <a:bodyPr vertOverflow="clip" wrap="square" rtlCol="0" anchor="t"/>
        <a:lstStyle/>
        <a:p>
          <a:endParaRPr lang="fi-FI" sz="1400" baseline="0"/>
        </a:p>
        <a:p>
          <a:r>
            <a:rPr lang="fi-FI" sz="1100" baseline="0"/>
            <a:t>Vertaile kuinka paljon lannoitus maksaa käytettäessä väkilannoitteita tai lantaa. </a:t>
          </a:r>
        </a:p>
        <a:p>
          <a:endParaRPr lang="fi-FI" sz="1100" baseline="0"/>
        </a:p>
        <a:p>
          <a:r>
            <a:rPr lang="fi-FI" sz="1100" baseline="0"/>
            <a:t>1) Muuta välilehden "Perustiedot" alussa olevaan taulukoon esimerkkilukujen tilalle omat tietosi. Voit valita tarkasteluun kerrallaan viisi peltolohkoa.  Merkitse taulukkoon peltolohkon koko, käyttämäsi tai suunnittelemasi lannoitus (typpi ja fosfori määrä kg/ha). </a:t>
          </a:r>
        </a:p>
        <a:p>
          <a:endParaRPr lang="fi-FI" sz="1100" baseline="0"/>
        </a:p>
        <a:p>
          <a:r>
            <a:rPr lang="fi-FI" sz="1100" baseline="0"/>
            <a:t>2) Taulukko laskee automaattisesti välilehdelle "Kustannusten vertailu" lannoituksen kustannuksen eri tilanteissa. Lannan osalta tulokset on jaoteltu eri lantalajien mukaan. Yhteenvedon lisäksi jokaisesta lantalajista on tarkempi erittely yhteenvedon alla. Laskuri olettaa, että lantaa käytetään niin paljon, että kaikki fosforilannoitus saadaan lannasta. Lisäksi käytetään niin paljon salpietaria, että typpilannoituksen tarve täyttyy. </a:t>
          </a:r>
        </a:p>
        <a:p>
          <a:endParaRPr lang="fi-FI" sz="1100" baseline="0"/>
        </a:p>
      </xdr:txBody>
    </xdr:sp>
    <xdr:clientData/>
  </xdr:twoCellAnchor>
  <xdr:twoCellAnchor editAs="oneCell">
    <xdr:from>
      <xdr:col>7</xdr:col>
      <xdr:colOff>457200</xdr:colOff>
      <xdr:row>0</xdr:row>
      <xdr:rowOff>104775</xdr:rowOff>
    </xdr:from>
    <xdr:to>
      <xdr:col>13</xdr:col>
      <xdr:colOff>237744</xdr:colOff>
      <xdr:row>6</xdr:row>
      <xdr:rowOff>91440</xdr:rowOff>
    </xdr:to>
    <xdr:pic>
      <xdr:nvPicPr>
        <xdr:cNvPr id="3" name="Kuva 2" descr="TEHO_Plus_logo_res300.jpg"/>
        <xdr:cNvPicPr>
          <a:picLocks noChangeAspect="1"/>
        </xdr:cNvPicPr>
      </xdr:nvPicPr>
      <xdr:blipFill>
        <a:blip xmlns:r="http://schemas.openxmlformats.org/officeDocument/2006/relationships" r:embed="rId1" cstate="print"/>
        <a:stretch>
          <a:fillRect/>
        </a:stretch>
      </xdr:blipFill>
      <xdr:spPr>
        <a:xfrm>
          <a:off x="4724400" y="104775"/>
          <a:ext cx="3438144" cy="1234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514350</xdr:colOff>
      <xdr:row>9</xdr:row>
      <xdr:rowOff>1</xdr:rowOff>
    </xdr:from>
    <xdr:to>
      <xdr:col>10</xdr:col>
      <xdr:colOff>0</xdr:colOff>
      <xdr:row>26</xdr:row>
      <xdr:rowOff>85726</xdr:rowOff>
    </xdr:to>
    <xdr:sp macro="" textlink="">
      <xdr:nvSpPr>
        <xdr:cNvPr id="3" name="Tekstikehys 2"/>
        <xdr:cNvSpPr txBox="1"/>
      </xdr:nvSpPr>
      <xdr:spPr>
        <a:xfrm>
          <a:off x="6496050" y="3724276"/>
          <a:ext cx="4791075" cy="2800350"/>
        </a:xfrm>
        <a:prstGeom prst="rect">
          <a:avLst/>
        </a:prstGeom>
        <a:solidFill>
          <a:srgbClr val="B3D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100" u="sng" baseline="0">
              <a:solidFill>
                <a:schemeClr val="dk1"/>
              </a:solidFill>
              <a:latin typeface="+mn-lt"/>
              <a:ea typeface="+mn-ea"/>
              <a:cs typeface="+mn-cs"/>
            </a:rPr>
            <a:t>Oletuksista:</a:t>
          </a:r>
        </a:p>
        <a:p>
          <a:endParaRPr lang="fi-FI" sz="1100" baseline="0">
            <a:solidFill>
              <a:schemeClr val="dk1"/>
            </a:solidFill>
            <a:latin typeface="+mn-lt"/>
            <a:ea typeface="+mn-ea"/>
            <a:cs typeface="+mn-cs"/>
          </a:endParaRPr>
        </a:p>
        <a:p>
          <a:r>
            <a:rPr lang="fi-FI" sz="1100" baseline="0">
              <a:solidFill>
                <a:schemeClr val="dk1"/>
              </a:solidFill>
              <a:latin typeface="+mn-lt"/>
              <a:ea typeface="+mn-ea"/>
              <a:cs typeface="+mn-cs"/>
            </a:rPr>
            <a:t>Oletuksia muuttamalla voit tarkastella kustannusten muutoksia eri tilanteissa. Voit kokeilla esimerkiksi miten kuljetusmatkan, urakointihintojen, väkilannoitteiden hintojen tai  lannan taulukkoarvojen muuttaminen vaikuttaa laskelmaan.  Voit myös lisätä lannan hinnan, jos se on tarpeellinen. Laskelmaan on otettu lietteiden osalta mukaan myös erityisympäristötuki lietteen sijoittamisesta peltoon.  Jos haluat tarkasella tilannetta ilman tukea, muuta oletuksista erityistuen määräksi 0.</a:t>
          </a:r>
          <a:endParaRPr lang="fi-FI"/>
        </a:p>
        <a:p>
          <a:pPr fontAlgn="base"/>
          <a:endParaRPr lang="fi-FI" sz="1100" baseline="0">
            <a:solidFill>
              <a:schemeClr val="dk1"/>
            </a:solidFill>
            <a:latin typeface="+mn-lt"/>
            <a:ea typeface="+mn-ea"/>
            <a:cs typeface="+mn-cs"/>
          </a:endParaRPr>
        </a:p>
        <a:p>
          <a:r>
            <a:rPr lang="fi-FI" sz="1100" baseline="0">
              <a:solidFill>
                <a:schemeClr val="dk1"/>
              </a:solidFill>
              <a:latin typeface="+mn-lt"/>
              <a:ea typeface="+mn-ea"/>
              <a:cs typeface="+mn-cs"/>
            </a:rPr>
            <a:t>Laskelmassa ei ole otettu huomioon lannan levityksestä aiheutuvaa maan tiivistymistä ja siitä koituvia kustannuksia ja tulonmenetyksiä tai lannan levittämisestä koituvia  hajuhaittoja. Toisaalta laskelmassa ei ole otettu huomioon lannan positiivista vaikutusta maan rakenteeseen orgaanisen aineksen ja hivenravinteiden lisääjänä.  Nämä asiat pitää huomioida muutoin kuin euroina.  </a:t>
          </a:r>
          <a:endParaRPr lang="fi-FI"/>
        </a:p>
        <a:p>
          <a:endParaRPr lang="fi-FI" sz="1100"/>
        </a:p>
      </xdr:txBody>
    </xdr:sp>
    <xdr:clientData/>
  </xdr:twoCellAnchor>
  <xdr:twoCellAnchor>
    <xdr:from>
      <xdr:col>4</xdr:col>
      <xdr:colOff>85725</xdr:colOff>
      <xdr:row>1</xdr:row>
      <xdr:rowOff>533400</xdr:rowOff>
    </xdr:from>
    <xdr:to>
      <xdr:col>6</xdr:col>
      <xdr:colOff>1123950</xdr:colOff>
      <xdr:row>3</xdr:row>
      <xdr:rowOff>171450</xdr:rowOff>
    </xdr:to>
    <xdr:sp macro="" textlink="">
      <xdr:nvSpPr>
        <xdr:cNvPr id="4" name="Kuvatekstinuoli vasemmalle 3"/>
        <xdr:cNvSpPr/>
      </xdr:nvSpPr>
      <xdr:spPr>
        <a:xfrm>
          <a:off x="4886325" y="866775"/>
          <a:ext cx="3171825" cy="438150"/>
        </a:xfrm>
        <a:prstGeom prst="leftArrowCallout">
          <a:avLst>
            <a:gd name="adj1" fmla="val 25000"/>
            <a:gd name="adj2" fmla="val 25000"/>
            <a:gd name="adj3" fmla="val 88044"/>
            <a:gd name="adj4" fmla="val 64977"/>
          </a:avLst>
        </a:prstGeom>
        <a:ln>
          <a:solidFill>
            <a:srgbClr val="4325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i-FI" sz="1100">
              <a:solidFill>
                <a:sysClr val="windowText" lastClr="000000"/>
              </a:solidFill>
            </a:rPr>
            <a:t>TÄYTÄ</a:t>
          </a:r>
          <a:r>
            <a:rPr lang="fi-FI" sz="1100" baseline="0">
              <a:solidFill>
                <a:sysClr val="windowText" lastClr="000000"/>
              </a:solidFill>
            </a:rPr>
            <a:t> TÄMÄ OMILLA TIEDOILLASI! </a:t>
          </a:r>
          <a:endParaRPr lang="fi-FI" sz="1100">
            <a:solidFill>
              <a:sysClr val="windowText" lastClr="000000"/>
            </a:solidFill>
          </a:endParaRP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3"/>
  <sheetViews>
    <sheetView workbookViewId="0">
      <selection activeCell="A2" sqref="A2"/>
    </sheetView>
  </sheetViews>
  <sheetFormatPr defaultRowHeight="15"/>
  <sheetData>
    <row r="1" spans="2:2" s="2" customFormat="1"/>
    <row r="3" spans="2:2" ht="23.25">
      <c r="B3" s="32" t="s">
        <v>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O40"/>
  <sheetViews>
    <sheetView tabSelected="1" workbookViewId="0">
      <selection activeCell="C18" sqref="C18"/>
    </sheetView>
  </sheetViews>
  <sheetFormatPr defaultRowHeight="15"/>
  <cols>
    <col min="1" max="1" width="20.7109375" customWidth="1"/>
    <col min="2" max="2" width="16.42578125" customWidth="1"/>
    <col min="3" max="3" width="17.140625" customWidth="1"/>
    <col min="4" max="5" width="17.7109375" customWidth="1"/>
    <col min="6" max="6" width="14.28515625" customWidth="1"/>
    <col min="7" max="7" width="17" customWidth="1"/>
    <col min="8" max="8" width="16.85546875" customWidth="1"/>
    <col min="9" max="9" width="16.5703125" customWidth="1"/>
    <col min="10" max="10" width="13.5703125" customWidth="1"/>
    <col min="11" max="11" width="13.28515625" customWidth="1"/>
    <col min="12" max="12" width="12.42578125" customWidth="1"/>
    <col min="13" max="13" width="12.42578125" style="2" customWidth="1"/>
    <col min="14" max="14" width="11.42578125" customWidth="1"/>
    <col min="15" max="15" width="16.28515625" customWidth="1"/>
    <col min="16" max="16" width="11.7109375" customWidth="1"/>
  </cols>
  <sheetData>
    <row r="1" spans="1:15" s="2" customFormat="1" ht="26.25" customHeight="1" thickBot="1">
      <c r="A1" s="94" t="s">
        <v>41</v>
      </c>
      <c r="B1" s="95"/>
      <c r="C1" s="95"/>
      <c r="D1" s="96"/>
      <c r="E1" s="45"/>
      <c r="F1" s="45"/>
      <c r="G1" s="45"/>
      <c r="H1" s="45"/>
      <c r="I1" s="45"/>
    </row>
    <row r="2" spans="1:15" s="12" customFormat="1" ht="47.25">
      <c r="A2" s="49" t="s">
        <v>0</v>
      </c>
      <c r="B2" s="50" t="s">
        <v>1</v>
      </c>
      <c r="C2" s="51" t="s">
        <v>2</v>
      </c>
      <c r="D2" s="52" t="s">
        <v>3</v>
      </c>
      <c r="E2" s="4"/>
      <c r="F2" s="46"/>
      <c r="G2" s="46"/>
      <c r="H2" s="46"/>
      <c r="I2" s="46"/>
      <c r="K2" s="4"/>
      <c r="L2" s="4"/>
      <c r="M2" s="4"/>
      <c r="N2" s="4"/>
      <c r="O2" s="13"/>
    </row>
    <row r="3" spans="1:15" s="12" customFormat="1" ht="15.75">
      <c r="A3" s="39" t="s">
        <v>21</v>
      </c>
      <c r="B3" s="40">
        <v>9</v>
      </c>
      <c r="C3" s="41">
        <v>130</v>
      </c>
      <c r="D3" s="56">
        <v>17</v>
      </c>
      <c r="E3" s="4"/>
      <c r="F3" s="47"/>
      <c r="G3" s="47"/>
      <c r="H3" s="47"/>
      <c r="I3" s="48"/>
      <c r="K3" s="14"/>
      <c r="L3" s="14"/>
      <c r="M3" s="14"/>
      <c r="N3" s="14"/>
      <c r="O3" s="15"/>
    </row>
    <row r="4" spans="1:15" s="12" customFormat="1" ht="15.75">
      <c r="A4" s="39" t="s">
        <v>22</v>
      </c>
      <c r="B4" s="40">
        <v>7</v>
      </c>
      <c r="C4" s="41">
        <v>90</v>
      </c>
      <c r="D4" s="56">
        <v>15</v>
      </c>
      <c r="E4" s="4"/>
      <c r="F4" s="47"/>
      <c r="G4" s="47"/>
      <c r="H4" s="47"/>
      <c r="I4" s="48"/>
      <c r="K4" s="14"/>
      <c r="L4" s="14"/>
      <c r="M4" s="14"/>
      <c r="N4" s="14"/>
      <c r="O4" s="15"/>
    </row>
    <row r="5" spans="1:15" s="12" customFormat="1" ht="15.75">
      <c r="A5" s="39" t="s">
        <v>23</v>
      </c>
      <c r="B5" s="40">
        <v>5</v>
      </c>
      <c r="C5" s="41">
        <v>92</v>
      </c>
      <c r="D5" s="56">
        <v>12</v>
      </c>
      <c r="E5" s="4"/>
      <c r="F5" s="47"/>
      <c r="G5" s="47"/>
      <c r="H5" s="47"/>
      <c r="I5" s="48"/>
      <c r="K5" s="14"/>
      <c r="L5" s="14"/>
      <c r="M5" s="14"/>
      <c r="N5" s="14"/>
      <c r="O5" s="16"/>
    </row>
    <row r="6" spans="1:15" s="12" customFormat="1" ht="15.75">
      <c r="A6" s="39" t="s">
        <v>24</v>
      </c>
      <c r="B6" s="40">
        <v>15</v>
      </c>
      <c r="C6" s="41">
        <v>120</v>
      </c>
      <c r="D6" s="56">
        <v>20</v>
      </c>
      <c r="E6" s="4"/>
      <c r="F6" s="47"/>
      <c r="G6" s="47"/>
      <c r="H6" s="47"/>
      <c r="I6" s="48"/>
      <c r="K6" s="14"/>
      <c r="L6" s="14"/>
      <c r="M6" s="14"/>
      <c r="N6" s="14"/>
      <c r="O6" s="16"/>
    </row>
    <row r="7" spans="1:15" s="12" customFormat="1" ht="16.5" thickBot="1">
      <c r="A7" s="42" t="s">
        <v>28</v>
      </c>
      <c r="B7" s="43">
        <v>10</v>
      </c>
      <c r="C7" s="44">
        <v>105</v>
      </c>
      <c r="D7" s="57">
        <v>10</v>
      </c>
      <c r="E7" s="4"/>
      <c r="F7" s="47"/>
      <c r="G7" s="47"/>
      <c r="H7" s="47"/>
      <c r="I7" s="48"/>
      <c r="K7" s="14"/>
      <c r="L7" s="14"/>
      <c r="M7" s="14"/>
      <c r="N7" s="14"/>
      <c r="O7" s="15"/>
    </row>
    <row r="8" spans="1:15">
      <c r="K8" s="2"/>
      <c r="O8" s="20"/>
    </row>
    <row r="10" spans="1:15" ht="18.75" customHeight="1">
      <c r="A10" s="92" t="s">
        <v>6</v>
      </c>
      <c r="B10" s="93"/>
      <c r="C10" s="93"/>
      <c r="D10" s="93"/>
      <c r="E10" s="93"/>
      <c r="F10" s="31"/>
      <c r="G10" s="31"/>
      <c r="H10" s="31"/>
      <c r="I10" s="31"/>
      <c r="J10" s="31"/>
    </row>
    <row r="12" spans="1:15" s="2" customFormat="1">
      <c r="A12" s="2" t="s">
        <v>48</v>
      </c>
      <c r="C12" s="36">
        <v>1.55</v>
      </c>
      <c r="D12" s="2" t="s">
        <v>14</v>
      </c>
    </row>
    <row r="13" spans="1:15" s="2" customFormat="1">
      <c r="A13" s="2" t="s">
        <v>49</v>
      </c>
      <c r="C13" s="36">
        <v>2.44</v>
      </c>
      <c r="D13" s="2" t="s">
        <v>14</v>
      </c>
    </row>
    <row r="14" spans="1:15" s="2" customFormat="1">
      <c r="A14" s="2" t="s">
        <v>72</v>
      </c>
    </row>
    <row r="15" spans="1:15">
      <c r="A15" s="2" t="s">
        <v>36</v>
      </c>
      <c r="C15" s="36">
        <v>2.69</v>
      </c>
      <c r="D15" s="2" t="s">
        <v>15</v>
      </c>
      <c r="F15" s="2"/>
    </row>
    <row r="16" spans="1:15" s="2" customFormat="1">
      <c r="A16" s="4" t="s">
        <v>37</v>
      </c>
      <c r="C16" s="36">
        <v>2.42</v>
      </c>
      <c r="D16" s="2" t="s">
        <v>15</v>
      </c>
    </row>
    <row r="17" spans="1:12" s="2" customFormat="1">
      <c r="A17" s="2" t="s">
        <v>5</v>
      </c>
      <c r="B17"/>
      <c r="C17" s="37">
        <v>0.34</v>
      </c>
      <c r="D17" s="2" t="s">
        <v>16</v>
      </c>
    </row>
    <row r="18" spans="1:12" s="12" customFormat="1">
      <c r="A18" s="27" t="s">
        <v>73</v>
      </c>
      <c r="C18" s="30"/>
    </row>
    <row r="19" spans="1:12">
      <c r="A19" s="2" t="s">
        <v>7</v>
      </c>
      <c r="C19" s="38">
        <v>5</v>
      </c>
      <c r="D19" s="2" t="s">
        <v>12</v>
      </c>
      <c r="F19" s="2"/>
    </row>
    <row r="20" spans="1:12">
      <c r="K20" s="2"/>
      <c r="L20" s="2"/>
    </row>
    <row r="21" spans="1:12">
      <c r="A21" s="2" t="s">
        <v>13</v>
      </c>
      <c r="C21" s="36">
        <v>0.39</v>
      </c>
      <c r="D21" s="2" t="s">
        <v>14</v>
      </c>
      <c r="K21" s="12"/>
      <c r="L21" s="2"/>
    </row>
    <row r="22" spans="1:12" s="2" customFormat="1">
      <c r="A22" s="2" t="s">
        <v>20</v>
      </c>
      <c r="B22"/>
      <c r="C22"/>
      <c r="D22"/>
      <c r="K22" s="12"/>
    </row>
    <row r="23" spans="1:12">
      <c r="A23" s="2" t="s">
        <v>19</v>
      </c>
      <c r="C23" s="36">
        <v>0</v>
      </c>
      <c r="D23" s="2" t="s">
        <v>15</v>
      </c>
      <c r="K23" s="2"/>
      <c r="L23" s="2"/>
    </row>
    <row r="24" spans="1:12">
      <c r="A24" s="2" t="s">
        <v>27</v>
      </c>
      <c r="C24" s="2"/>
    </row>
    <row r="25" spans="1:12">
      <c r="A25" s="2" t="s">
        <v>25</v>
      </c>
      <c r="C25" s="36">
        <v>56</v>
      </c>
      <c r="D25" s="2" t="s">
        <v>26</v>
      </c>
    </row>
    <row r="28" spans="1:12" s="2" customFormat="1" ht="15.75">
      <c r="A28" s="25"/>
      <c r="B28" s="26" t="s">
        <v>40</v>
      </c>
      <c r="C28" s="26"/>
      <c r="D28" s="69"/>
    </row>
    <row r="29" spans="1:12" ht="47.25">
      <c r="A29" s="35" t="s">
        <v>35</v>
      </c>
      <c r="B29" s="35" t="s">
        <v>29</v>
      </c>
      <c r="C29" s="35" t="s">
        <v>30</v>
      </c>
      <c r="D29" s="70"/>
    </row>
    <row r="30" spans="1:12" ht="15.75">
      <c r="A30" s="35" t="s">
        <v>18</v>
      </c>
      <c r="B30" s="35">
        <v>2.7</v>
      </c>
      <c r="C30" s="35">
        <v>0.68</v>
      </c>
      <c r="D30" s="70"/>
    </row>
    <row r="31" spans="1:12" ht="15.75">
      <c r="A31" s="35" t="s">
        <v>31</v>
      </c>
      <c r="B31" s="35">
        <v>1.5</v>
      </c>
      <c r="C31" s="35">
        <v>2.12</v>
      </c>
      <c r="D31" s="70"/>
    </row>
    <row r="32" spans="1:12" ht="15.75">
      <c r="A32" s="35" t="s">
        <v>32</v>
      </c>
      <c r="B32" s="35">
        <v>1.8</v>
      </c>
      <c r="C32" s="35">
        <v>0.42</v>
      </c>
      <c r="D32" s="70"/>
    </row>
    <row r="33" spans="1:10" ht="15.75">
      <c r="A33" s="35" t="s">
        <v>33</v>
      </c>
      <c r="B33" s="35">
        <v>1.2</v>
      </c>
      <c r="C33" s="35">
        <v>1.02</v>
      </c>
      <c r="D33" s="70"/>
    </row>
    <row r="34" spans="1:10" ht="15.75">
      <c r="A34" s="35" t="s">
        <v>34</v>
      </c>
      <c r="B34" s="35">
        <v>4.5</v>
      </c>
      <c r="C34" s="35">
        <v>3.74</v>
      </c>
      <c r="D34" s="70"/>
    </row>
    <row r="40" spans="1:10">
      <c r="J40" s="2"/>
    </row>
  </sheetData>
  <mergeCells count="2">
    <mergeCell ref="A10:E10"/>
    <mergeCell ref="A1:D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2:A5"/>
  <sheetViews>
    <sheetView workbookViewId="0">
      <selection activeCell="A7" sqref="A7"/>
    </sheetView>
  </sheetViews>
  <sheetFormatPr defaultRowHeight="15"/>
  <sheetData>
    <row r="2" spans="1:1">
      <c r="A2" s="2" t="s">
        <v>9</v>
      </c>
    </row>
    <row r="3" spans="1:1">
      <c r="A3" s="2" t="s">
        <v>10</v>
      </c>
    </row>
    <row r="5" spans="1:1">
      <c r="A5" s="2" t="s">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77"/>
  <sheetViews>
    <sheetView workbookViewId="0">
      <selection activeCell="L34" sqref="L34"/>
    </sheetView>
  </sheetViews>
  <sheetFormatPr defaultRowHeight="15"/>
  <cols>
    <col min="1" max="1" width="32.7109375" customWidth="1"/>
    <col min="2" max="2" width="12.42578125" customWidth="1"/>
    <col min="3" max="3" width="18.42578125" customWidth="1"/>
    <col min="4" max="4" width="14.140625" customWidth="1"/>
    <col min="5" max="5" width="16.28515625" customWidth="1"/>
    <col min="6" max="6" width="15.85546875" customWidth="1"/>
    <col min="7" max="7" width="14" customWidth="1"/>
    <col min="8" max="8" width="13.5703125" customWidth="1"/>
    <col min="9" max="9" width="9.85546875" customWidth="1"/>
    <col min="10" max="10" width="10.5703125" customWidth="1"/>
    <col min="11" max="11" width="8.85546875" customWidth="1"/>
    <col min="12" max="12" width="12.7109375" customWidth="1"/>
  </cols>
  <sheetData>
    <row r="1" spans="1:12" s="2" customFormat="1" ht="25.5" thickBot="1">
      <c r="A1" s="81" t="s">
        <v>71</v>
      </c>
      <c r="B1" s="83"/>
      <c r="C1" s="83"/>
    </row>
    <row r="2" spans="1:12" s="2" customFormat="1"/>
    <row r="3" spans="1:12" s="2" customFormat="1" ht="52.5" customHeight="1">
      <c r="A3" s="88" t="s">
        <v>39</v>
      </c>
      <c r="B3" s="88" t="s">
        <v>53</v>
      </c>
      <c r="C3" s="89" t="s">
        <v>51</v>
      </c>
    </row>
    <row r="4" spans="1:12" s="2" customFormat="1" ht="17.25">
      <c r="A4" s="84" t="s">
        <v>38</v>
      </c>
      <c r="B4" s="85">
        <f>E14</f>
        <v>9672.4199999999983</v>
      </c>
      <c r="C4" s="90" t="s">
        <v>52</v>
      </c>
    </row>
    <row r="5" spans="1:12" s="2" customFormat="1" ht="17.25">
      <c r="A5" s="86" t="str">
        <f>A26</f>
        <v>Sian lietelanta + salpietari</v>
      </c>
      <c r="B5" s="87">
        <f>E26</f>
        <v>5322.493464052287</v>
      </c>
      <c r="C5" s="91">
        <f>B4-B5</f>
        <v>4349.9265359477113</v>
      </c>
    </row>
    <row r="6" spans="1:12" s="2" customFormat="1" ht="17.25">
      <c r="A6" s="84" t="str">
        <f>A36</f>
        <v>Sian kuivikelanta + salpietari</v>
      </c>
      <c r="B6" s="85">
        <f>E36</f>
        <v>8042.6645702306087</v>
      </c>
      <c r="C6" s="91">
        <f>B4-B6</f>
        <v>1629.7554297693896</v>
      </c>
    </row>
    <row r="7" spans="1:12" ht="15.75" customHeight="1">
      <c r="A7" s="86" t="str">
        <f>A47</f>
        <v>Naudan lietelanta + salpietari</v>
      </c>
      <c r="B7" s="87">
        <f>E47</f>
        <v>7865.1587301587297</v>
      </c>
      <c r="C7" s="91">
        <f>B4-B7</f>
        <v>1807.2612698412686</v>
      </c>
    </row>
    <row r="8" spans="1:12" ht="17.25">
      <c r="A8" s="84" t="str">
        <f>A58</f>
        <v>Naudan kuivikelanta + salpietari</v>
      </c>
      <c r="B8" s="85">
        <f>E58</f>
        <v>9061.1372549019597</v>
      </c>
      <c r="C8" s="91">
        <f>B4-B8</f>
        <v>611.2827450980385</v>
      </c>
    </row>
    <row r="9" spans="1:12" s="2" customFormat="1" ht="17.25">
      <c r="A9" s="86" t="str">
        <f>A69</f>
        <v>Kanan kuivikelanta + salpietari</v>
      </c>
      <c r="B9" s="87">
        <f>E69</f>
        <v>6924.2020202020194</v>
      </c>
      <c r="C9" s="91">
        <f>B4-B9</f>
        <v>2748.2179797979788</v>
      </c>
    </row>
    <row r="10" spans="1:12" s="12" customFormat="1" ht="15.75">
      <c r="A10" s="28"/>
      <c r="B10" s="29"/>
      <c r="D10" s="4"/>
    </row>
    <row r="11" spans="1:12" s="2" customFormat="1">
      <c r="A11" s="23"/>
      <c r="B11" s="24"/>
    </row>
    <row r="12" spans="1:12" s="2" customFormat="1" ht="25.5" thickBot="1">
      <c r="A12" s="81" t="s">
        <v>70</v>
      </c>
      <c r="B12" s="82"/>
      <c r="C12" s="83"/>
      <c r="D12" s="83"/>
      <c r="E12" s="83"/>
      <c r="F12" s="83"/>
      <c r="G12" s="83"/>
      <c r="H12" s="83"/>
      <c r="I12" s="83"/>
      <c r="J12" s="83"/>
      <c r="K12" s="83"/>
      <c r="L12" s="83"/>
    </row>
    <row r="13" spans="1:12" s="2" customFormat="1"/>
    <row r="14" spans="1:12" ht="17.25">
      <c r="A14" s="34" t="s">
        <v>38</v>
      </c>
      <c r="B14" s="12"/>
      <c r="C14" s="10" t="s">
        <v>17</v>
      </c>
      <c r="E14" s="33">
        <f>F22</f>
        <v>9672.4199999999983</v>
      </c>
      <c r="J14" s="2"/>
    </row>
    <row r="15" spans="1:12">
      <c r="A15" s="2"/>
      <c r="B15" s="2"/>
      <c r="C15" s="2"/>
      <c r="D15" s="2"/>
      <c r="E15" s="2"/>
      <c r="F15" s="2"/>
      <c r="G15" s="2"/>
      <c r="H15" s="2"/>
      <c r="I15" s="2"/>
      <c r="J15" s="2"/>
      <c r="K15" s="2"/>
      <c r="L15" s="2"/>
    </row>
    <row r="16" spans="1:12">
      <c r="A16" s="2" t="s">
        <v>60</v>
      </c>
      <c r="B16" s="61" t="s">
        <v>61</v>
      </c>
      <c r="C16" s="62" t="s">
        <v>62</v>
      </c>
      <c r="D16" s="62" t="s">
        <v>63</v>
      </c>
      <c r="E16" s="62" t="s">
        <v>58</v>
      </c>
      <c r="F16" s="63" t="s">
        <v>59</v>
      </c>
      <c r="G16" s="4"/>
      <c r="L16" s="2"/>
    </row>
    <row r="17" spans="1:12">
      <c r="A17" s="17" t="str">
        <f>Perustiedot!A3</f>
        <v>kotopelto</v>
      </c>
      <c r="B17" s="9">
        <f>Perustiedot!B3</f>
        <v>9</v>
      </c>
      <c r="C17" s="53">
        <f>Perustiedot!$C$12*Perustiedot!C3</f>
        <v>201.5</v>
      </c>
      <c r="D17" s="53">
        <f>Perustiedot!$C$13*Perustiedot!D3</f>
        <v>41.48</v>
      </c>
      <c r="E17" s="53">
        <f>Perustiedot!C3*Perustiedot!$C$12+Perustiedot!D3*Perustiedot!$C$13</f>
        <v>242.98</v>
      </c>
      <c r="F17" s="54">
        <f>E17*B17</f>
        <v>2186.8199999999997</v>
      </c>
      <c r="G17" s="19"/>
      <c r="L17" s="2"/>
    </row>
    <row r="18" spans="1:12">
      <c r="A18" s="6" t="str">
        <f>Perustiedot!A4</f>
        <v>rantalohko</v>
      </c>
      <c r="B18" s="55">
        <f>Perustiedot!B4</f>
        <v>7</v>
      </c>
      <c r="C18" s="53">
        <f>Perustiedot!$C$12*Perustiedot!C4</f>
        <v>139.5</v>
      </c>
      <c r="D18" s="53">
        <f>Perustiedot!$C$13*Perustiedot!D4</f>
        <v>36.6</v>
      </c>
      <c r="E18" s="53">
        <f>Perustiedot!C4*Perustiedot!$C$12+Perustiedot!D4*Perustiedot!$C$13</f>
        <v>176.1</v>
      </c>
      <c r="F18" s="54">
        <f t="shared" ref="F18:F21" si="0">E18*B18</f>
        <v>1232.7</v>
      </c>
      <c r="G18" s="19"/>
    </row>
    <row r="19" spans="1:12">
      <c r="A19" s="6" t="str">
        <f>Perustiedot!A5</f>
        <v>pikkuinen</v>
      </c>
      <c r="B19" s="55">
        <f>Perustiedot!B5</f>
        <v>5</v>
      </c>
      <c r="C19" s="53">
        <f>Perustiedot!$C$12*Perustiedot!C5</f>
        <v>142.6</v>
      </c>
      <c r="D19" s="53">
        <f>Perustiedot!$C$13*Perustiedot!D5</f>
        <v>29.28</v>
      </c>
      <c r="E19" s="53">
        <f>Perustiedot!C5*Perustiedot!$C$12+Perustiedot!D5*Perustiedot!$C$13</f>
        <v>171.88</v>
      </c>
      <c r="F19" s="54">
        <f t="shared" si="0"/>
        <v>859.4</v>
      </c>
      <c r="G19" s="19"/>
      <c r="I19" s="2"/>
      <c r="J19" s="2"/>
      <c r="K19" s="2"/>
    </row>
    <row r="20" spans="1:12">
      <c r="A20" s="6" t="str">
        <f>Perustiedot!A6</f>
        <v>vanha niitty</v>
      </c>
      <c r="B20" s="55">
        <f>Perustiedot!B6</f>
        <v>15</v>
      </c>
      <c r="C20" s="53">
        <f>Perustiedot!$C$12*Perustiedot!C6</f>
        <v>186</v>
      </c>
      <c r="D20" s="53">
        <f>Perustiedot!$C$13*Perustiedot!D6</f>
        <v>48.8</v>
      </c>
      <c r="E20" s="53">
        <f>Perustiedot!C6*Perustiedot!$C$12+Perustiedot!D6*Perustiedot!$C$13</f>
        <v>234.8</v>
      </c>
      <c r="F20" s="54">
        <f t="shared" si="0"/>
        <v>3522</v>
      </c>
      <c r="G20" s="19"/>
      <c r="L20" s="2"/>
    </row>
    <row r="21" spans="1:12">
      <c r="A21" s="7" t="str">
        <f>Perustiedot!A7</f>
        <v>metsän reuna</v>
      </c>
      <c r="B21" s="9">
        <f>Perustiedot!B7</f>
        <v>10</v>
      </c>
      <c r="C21" s="53">
        <f>Perustiedot!$C$12*Perustiedot!C7</f>
        <v>162.75</v>
      </c>
      <c r="D21" s="53">
        <f>Perustiedot!$C$13*Perustiedot!D7</f>
        <v>24.4</v>
      </c>
      <c r="E21" s="53">
        <f>Perustiedot!C7*Perustiedot!$C$12+Perustiedot!D7*Perustiedot!$C$13</f>
        <v>187.15</v>
      </c>
      <c r="F21" s="54">
        <f t="shared" si="0"/>
        <v>1871.5</v>
      </c>
      <c r="G21" s="19"/>
    </row>
    <row r="22" spans="1:12">
      <c r="A22" s="58" t="s">
        <v>50</v>
      </c>
      <c r="B22" s="59">
        <f>SUM(B17:B21)</f>
        <v>46</v>
      </c>
      <c r="C22" s="60">
        <f>SUM(C17:C21)</f>
        <v>832.35</v>
      </c>
      <c r="D22" s="60">
        <f>SUM(D17:D21)</f>
        <v>180.56</v>
      </c>
      <c r="E22" s="60"/>
      <c r="F22" s="60">
        <f>SUM(F17:F21)</f>
        <v>9672.4199999999983</v>
      </c>
      <c r="I22" s="8"/>
    </row>
    <row r="25" spans="1:12">
      <c r="A25" s="2"/>
      <c r="B25" s="2"/>
      <c r="C25" s="2"/>
      <c r="D25" s="2"/>
      <c r="E25" s="2"/>
      <c r="F25" s="2"/>
      <c r="G25" s="2"/>
      <c r="H25" s="2"/>
      <c r="I25" s="2"/>
      <c r="J25" s="2"/>
      <c r="K25" s="2"/>
      <c r="L25" s="2"/>
    </row>
    <row r="26" spans="1:12" s="2" customFormat="1" ht="17.25">
      <c r="A26" s="34" t="s">
        <v>43</v>
      </c>
      <c r="C26" s="10" t="s">
        <v>17</v>
      </c>
      <c r="E26" s="33">
        <f>H34+I34+J34+K34-L34</f>
        <v>5322.493464052287</v>
      </c>
    </row>
    <row r="27" spans="1:12" s="2" customFormat="1">
      <c r="I27" s="97" t="s">
        <v>65</v>
      </c>
      <c r="J27" s="97"/>
      <c r="K27" s="97"/>
      <c r="L27" s="98" t="s">
        <v>64</v>
      </c>
    </row>
    <row r="28" spans="1:12">
      <c r="A28" s="2" t="s">
        <v>60</v>
      </c>
      <c r="B28" s="1" t="s">
        <v>61</v>
      </c>
      <c r="C28" s="2" t="s">
        <v>4</v>
      </c>
      <c r="D28" s="2" t="s">
        <v>8</v>
      </c>
      <c r="E28" s="2" t="s">
        <v>57</v>
      </c>
      <c r="F28" s="2" t="s">
        <v>66</v>
      </c>
      <c r="G28" s="2" t="s">
        <v>67</v>
      </c>
      <c r="H28" s="2" t="s">
        <v>68</v>
      </c>
      <c r="I28" s="3" t="s">
        <v>54</v>
      </c>
      <c r="J28" s="3" t="s">
        <v>55</v>
      </c>
      <c r="K28" s="3" t="s">
        <v>56</v>
      </c>
      <c r="L28" s="99"/>
    </row>
    <row r="29" spans="1:12">
      <c r="A29" s="7" t="str">
        <f>Perustiedot!A3</f>
        <v>kotopelto</v>
      </c>
      <c r="B29" s="9">
        <f>Perustiedot!B3</f>
        <v>9</v>
      </c>
      <c r="C29" s="18">
        <f>Perustiedot!D3/Perustiedot!$C$30</f>
        <v>24.999999999999996</v>
      </c>
      <c r="D29" s="18">
        <f>C29*B29</f>
        <v>224.99999999999997</v>
      </c>
      <c r="E29" s="18">
        <f>C29*Perustiedot!$B$30</f>
        <v>67.5</v>
      </c>
      <c r="F29" s="18">
        <f>Perustiedot!C3-E29</f>
        <v>62.5</v>
      </c>
      <c r="G29" s="77">
        <f>B29*F29</f>
        <v>562.5</v>
      </c>
      <c r="H29" s="53">
        <f>G29/0.27*Perustiedot!$C$21</f>
        <v>812.49999999999989</v>
      </c>
      <c r="I29" s="53">
        <f>Perustiedot!$C$15*D29</f>
        <v>605.24999999999989</v>
      </c>
      <c r="J29" s="53">
        <f>Perustiedot!$C$17*Perustiedot!$C$19*D29</f>
        <v>382.5</v>
      </c>
      <c r="K29" s="53">
        <f>Perustiedot!$C$23*D29</f>
        <v>0</v>
      </c>
      <c r="L29" s="71">
        <f>IF(C29=0,"0 €",IF(C29&gt;0,B29*Perustiedot!$C$25))</f>
        <v>504</v>
      </c>
    </row>
    <row r="30" spans="1:12">
      <c r="A30" s="5" t="str">
        <f>Perustiedot!A4</f>
        <v>rantalohko</v>
      </c>
      <c r="B30" s="11">
        <f>Perustiedot!B4</f>
        <v>7</v>
      </c>
      <c r="C30" s="67">
        <f>Perustiedot!D4/Perustiedot!$C$30</f>
        <v>22.058823529411764</v>
      </c>
      <c r="D30" s="67">
        <f>C30*B30</f>
        <v>154.41176470588235</v>
      </c>
      <c r="E30" s="67">
        <f>C30*Perustiedot!$B$30</f>
        <v>59.558823529411768</v>
      </c>
      <c r="F30" s="67">
        <f>Perustiedot!C4-E30</f>
        <v>30.441176470588232</v>
      </c>
      <c r="G30" s="78">
        <f>B30*F30</f>
        <v>213.08823529411762</v>
      </c>
      <c r="H30" s="53">
        <f>G30/0.27*Perustiedot!$C$21</f>
        <v>307.79411764705878</v>
      </c>
      <c r="I30" s="73">
        <f>Perustiedot!$C$15*D30</f>
        <v>415.36764705882354</v>
      </c>
      <c r="J30" s="73">
        <f>Perustiedot!$C$17*Perustiedot!$C$19*D30</f>
        <v>262.5</v>
      </c>
      <c r="K30" s="73">
        <f>Perustiedot!$C$23*D30</f>
        <v>0</v>
      </c>
      <c r="L30" s="71">
        <f>IF(C30=0,"0 €",IF(C30&gt;0,B30*Perustiedot!$C$25))</f>
        <v>392</v>
      </c>
    </row>
    <row r="31" spans="1:12">
      <c r="A31" s="7" t="str">
        <f>Perustiedot!A5</f>
        <v>pikkuinen</v>
      </c>
      <c r="B31" s="9">
        <f>Perustiedot!B5</f>
        <v>5</v>
      </c>
      <c r="C31" s="18">
        <f>Perustiedot!D5/Perustiedot!$C$30</f>
        <v>17.647058823529409</v>
      </c>
      <c r="D31" s="18">
        <f>C31*B31</f>
        <v>88.235294117647044</v>
      </c>
      <c r="E31" s="18">
        <f>C31*Perustiedot!$B$30</f>
        <v>47.647058823529406</v>
      </c>
      <c r="F31" s="18">
        <f>Perustiedot!C5-E31</f>
        <v>44.352941176470594</v>
      </c>
      <c r="G31" s="77">
        <f>B31*F31</f>
        <v>221.76470588235298</v>
      </c>
      <c r="H31" s="53">
        <f>G31/0.27*Perustiedot!$C$21</f>
        <v>320.32679738562098</v>
      </c>
      <c r="I31" s="53">
        <f>Perustiedot!$C$15*D31</f>
        <v>237.35294117647055</v>
      </c>
      <c r="J31" s="53">
        <f>Perustiedot!$C$17*Perustiedot!$C$19*D31</f>
        <v>150</v>
      </c>
      <c r="K31" s="53">
        <f>Perustiedot!$C$23*D31</f>
        <v>0</v>
      </c>
      <c r="L31" s="71">
        <f>IF(C31=0,"0 €",IF(C31&gt;0,B31*Perustiedot!$C$25))</f>
        <v>280</v>
      </c>
    </row>
    <row r="32" spans="1:12">
      <c r="A32" s="5" t="str">
        <f>Perustiedot!A6</f>
        <v>vanha niitty</v>
      </c>
      <c r="B32" s="11">
        <f>Perustiedot!B6</f>
        <v>15</v>
      </c>
      <c r="C32" s="67">
        <f>Perustiedot!D6/Perustiedot!C30</f>
        <v>29.411764705882351</v>
      </c>
      <c r="D32" s="67">
        <f>C32*B32</f>
        <v>441.17647058823525</v>
      </c>
      <c r="E32" s="67">
        <f>C32*Perustiedot!$B$30</f>
        <v>79.411764705882348</v>
      </c>
      <c r="F32" s="67">
        <f>Perustiedot!C6-E32</f>
        <v>40.588235294117652</v>
      </c>
      <c r="G32" s="78">
        <f>B32*F32</f>
        <v>608.82352941176475</v>
      </c>
      <c r="H32" s="53">
        <f>G32/0.27*Perustiedot!$C$21</f>
        <v>879.41176470588243</v>
      </c>
      <c r="I32" s="73">
        <f>Perustiedot!$C$15*D32</f>
        <v>1186.7647058823527</v>
      </c>
      <c r="J32" s="73">
        <f>Perustiedot!$C$17*Perustiedot!$C$19*D32</f>
        <v>750</v>
      </c>
      <c r="K32" s="73">
        <f>Perustiedot!$C$23*D32</f>
        <v>0</v>
      </c>
      <c r="L32" s="80">
        <f>IF(C32=0,"0 €",IF(C32&gt;0,B32*Perustiedot!$C$25))</f>
        <v>840</v>
      </c>
    </row>
    <row r="33" spans="1:12">
      <c r="A33" s="7" t="str">
        <f>Perustiedot!A7</f>
        <v>metsän reuna</v>
      </c>
      <c r="B33" s="9">
        <f>Perustiedot!B7</f>
        <v>10</v>
      </c>
      <c r="C33" s="18">
        <f>Perustiedot!D7/Perustiedot!C30</f>
        <v>14.705882352941176</v>
      </c>
      <c r="D33" s="18">
        <f>C33*B33</f>
        <v>147.05882352941177</v>
      </c>
      <c r="E33" s="18">
        <f>C33*Perustiedot!$B$30</f>
        <v>39.705882352941174</v>
      </c>
      <c r="F33" s="18">
        <f>Perustiedot!C7-E33</f>
        <v>65.294117647058826</v>
      </c>
      <c r="G33" s="77">
        <f>B33*F33</f>
        <v>652.94117647058829</v>
      </c>
      <c r="H33" s="53">
        <f>G33/0.27*Perustiedot!$C$21</f>
        <v>943.13725490196077</v>
      </c>
      <c r="I33" s="53">
        <f>Perustiedot!$C$15*D33</f>
        <v>395.58823529411762</v>
      </c>
      <c r="J33" s="53">
        <f>Perustiedot!$C$17*Perustiedot!$C$19*D33</f>
        <v>250.00000000000003</v>
      </c>
      <c r="K33" s="53">
        <f>Perustiedot!$C$23*D33</f>
        <v>0</v>
      </c>
      <c r="L33" s="71">
        <f>IF(C33=0,"0 €",IF(C33&gt;0,B33*Perustiedot!$C$25))</f>
        <v>560</v>
      </c>
    </row>
    <row r="34" spans="1:12" s="65" customFormat="1">
      <c r="A34" s="64" t="s">
        <v>50</v>
      </c>
      <c r="B34" s="59">
        <f>SUM(B29:B33)</f>
        <v>46</v>
      </c>
      <c r="C34" s="68">
        <f>SUM(C29:C33)</f>
        <v>108.8235294117647</v>
      </c>
      <c r="D34" s="68">
        <f>SUM(D29:D33)</f>
        <v>1055.8823529411764</v>
      </c>
      <c r="H34" s="60">
        <f>SUM(H29:H33)</f>
        <v>3263.1699346405226</v>
      </c>
      <c r="I34" s="79">
        <f>SUM(I29:I33)</f>
        <v>2840.3235294117644</v>
      </c>
      <c r="J34" s="79">
        <f>SUM(J29:J33)</f>
        <v>1795</v>
      </c>
      <c r="K34" s="79">
        <f>SUM(K29:K33)</f>
        <v>0</v>
      </c>
      <c r="L34" s="60">
        <f>SUM(L29:L33)</f>
        <v>2576</v>
      </c>
    </row>
    <row r="36" spans="1:12" ht="17.25">
      <c r="A36" s="34" t="s">
        <v>44</v>
      </c>
      <c r="B36" s="2"/>
      <c r="C36" s="10" t="s">
        <v>17</v>
      </c>
      <c r="D36" s="2"/>
      <c r="E36" s="33">
        <f>H44+I44+J44+K44</f>
        <v>8042.6645702306087</v>
      </c>
      <c r="H36" s="2"/>
      <c r="I36" s="2"/>
      <c r="J36" s="2"/>
      <c r="K36" s="2"/>
      <c r="L36" s="2"/>
    </row>
    <row r="37" spans="1:12">
      <c r="A37" s="2"/>
      <c r="B37" s="2"/>
      <c r="C37" s="2"/>
      <c r="D37" s="2"/>
      <c r="E37" s="2"/>
      <c r="F37" s="2"/>
      <c r="G37" s="2"/>
      <c r="H37" s="2"/>
      <c r="I37" s="97" t="s">
        <v>65</v>
      </c>
      <c r="J37" s="97"/>
      <c r="K37" s="97"/>
      <c r="L37" s="2"/>
    </row>
    <row r="38" spans="1:12">
      <c r="A38" s="2" t="s">
        <v>60</v>
      </c>
      <c r="B38" s="1" t="s">
        <v>61</v>
      </c>
      <c r="C38" s="2" t="s">
        <v>4</v>
      </c>
      <c r="D38" s="2" t="s">
        <v>8</v>
      </c>
      <c r="E38" s="2" t="s">
        <v>57</v>
      </c>
      <c r="F38" s="2" t="s">
        <v>66</v>
      </c>
      <c r="G38" s="2" t="s">
        <v>67</v>
      </c>
      <c r="H38" s="2" t="s">
        <v>68</v>
      </c>
      <c r="I38" s="2" t="s">
        <v>69</v>
      </c>
      <c r="J38" s="2" t="s">
        <v>55</v>
      </c>
      <c r="K38" s="2" t="s">
        <v>56</v>
      </c>
      <c r="L38" s="3"/>
    </row>
    <row r="39" spans="1:12">
      <c r="A39" s="7" t="str">
        <f>Perustiedot!A3</f>
        <v>kotopelto</v>
      </c>
      <c r="B39" s="9">
        <f>Perustiedot!B3</f>
        <v>9</v>
      </c>
      <c r="C39" s="18">
        <f>Perustiedot!D3/Perustiedot!$C$31</f>
        <v>8.0188679245283012</v>
      </c>
      <c r="D39" s="18">
        <f>C39*B39</f>
        <v>72.169811320754718</v>
      </c>
      <c r="E39" s="18">
        <f>C39*Perustiedot!$B$31</f>
        <v>12.028301886792452</v>
      </c>
      <c r="F39" s="18">
        <f>Perustiedot!C3-E39</f>
        <v>117.97169811320755</v>
      </c>
      <c r="G39" s="77">
        <f>B39*F39</f>
        <v>1061.7452830188679</v>
      </c>
      <c r="H39" s="53">
        <f>G39/0.27*Perustiedot!$C$21</f>
        <v>1533.632075471698</v>
      </c>
      <c r="I39" s="53">
        <f>Perustiedot!$C$16*D39</f>
        <v>174.65094339622641</v>
      </c>
      <c r="J39" s="53">
        <f>Perustiedot!$C$17*Perustiedot!$C$19*D39</f>
        <v>122.68867924528304</v>
      </c>
      <c r="K39" s="54">
        <f>Perustiedot!$C$23*D39</f>
        <v>0</v>
      </c>
      <c r="L39" s="21"/>
    </row>
    <row r="40" spans="1:12">
      <c r="A40" s="5" t="str">
        <f>Perustiedot!A4</f>
        <v>rantalohko</v>
      </c>
      <c r="B40" s="11">
        <f>Perustiedot!B4</f>
        <v>7</v>
      </c>
      <c r="C40" s="67">
        <f>Perustiedot!D4/Perustiedot!$C$31</f>
        <v>7.0754716981132075</v>
      </c>
      <c r="D40" s="67">
        <f>C40*B40</f>
        <v>49.528301886792455</v>
      </c>
      <c r="E40" s="67">
        <f>C40*Perustiedot!$B$31</f>
        <v>10.613207547169811</v>
      </c>
      <c r="F40" s="67">
        <f>Perustiedot!C4-E40</f>
        <v>79.386792452830193</v>
      </c>
      <c r="G40" s="78">
        <f>B40*F40</f>
        <v>555.70754716981139</v>
      </c>
      <c r="H40" s="53">
        <f>G40/0.27*Perustiedot!$C$21</f>
        <v>802.68867924528297</v>
      </c>
      <c r="I40" s="72">
        <f>Perustiedot!$C$16*D40</f>
        <v>119.85849056603774</v>
      </c>
      <c r="J40" s="72">
        <f>Perustiedot!$C$17*Perustiedot!$C$19*D40</f>
        <v>84.198113207547181</v>
      </c>
      <c r="K40" s="54">
        <f>Perustiedot!$C$23*D40</f>
        <v>0</v>
      </c>
      <c r="L40" s="21"/>
    </row>
    <row r="41" spans="1:12">
      <c r="A41" s="7" t="str">
        <f>Perustiedot!A5</f>
        <v>pikkuinen</v>
      </c>
      <c r="B41" s="9">
        <f>Perustiedot!B5</f>
        <v>5</v>
      </c>
      <c r="C41" s="18">
        <f>Perustiedot!D5/Perustiedot!$C$31</f>
        <v>5.6603773584905657</v>
      </c>
      <c r="D41" s="18">
        <f>C41*B41</f>
        <v>28.301886792452827</v>
      </c>
      <c r="E41" s="18">
        <f>C41*Perustiedot!$B$31</f>
        <v>8.4905660377358494</v>
      </c>
      <c r="F41" s="18">
        <f>Perustiedot!C5-E41</f>
        <v>83.509433962264154</v>
      </c>
      <c r="G41" s="77">
        <f>B41*F41</f>
        <v>417.54716981132077</v>
      </c>
      <c r="H41" s="53">
        <f>G41/0.27*Perustiedot!$C$21</f>
        <v>603.12368972746333</v>
      </c>
      <c r="I41" s="53">
        <f>Perustiedot!$C$16*D41</f>
        <v>68.490566037735832</v>
      </c>
      <c r="J41" s="53">
        <f>Perustiedot!$C$17*Perustiedot!$C$19*D41</f>
        <v>48.113207547169807</v>
      </c>
      <c r="K41" s="54">
        <f>Perustiedot!$C$23*D41</f>
        <v>0</v>
      </c>
      <c r="L41" s="21"/>
    </row>
    <row r="42" spans="1:12">
      <c r="A42" s="5" t="str">
        <f>Perustiedot!A6</f>
        <v>vanha niitty</v>
      </c>
      <c r="B42" s="11">
        <f>Perustiedot!B6</f>
        <v>15</v>
      </c>
      <c r="C42" s="67">
        <f>Perustiedot!D6/Perustiedot!$C$31</f>
        <v>9.4339622641509422</v>
      </c>
      <c r="D42" s="67">
        <f>C42*B42</f>
        <v>141.50943396226413</v>
      </c>
      <c r="E42" s="67">
        <f>C42*Perustiedot!$B$31</f>
        <v>14.150943396226413</v>
      </c>
      <c r="F42" s="67">
        <f>Perustiedot!C6-E42</f>
        <v>105.84905660377359</v>
      </c>
      <c r="G42" s="78">
        <f>B42*F42</f>
        <v>1587.7358490566039</v>
      </c>
      <c r="H42" s="53">
        <f>G42/0.27*Perustiedot!$C$21</f>
        <v>2293.3962264150946</v>
      </c>
      <c r="I42" s="72">
        <f>Perustiedot!$C$16*D42</f>
        <v>342.45283018867917</v>
      </c>
      <c r="J42" s="72">
        <f>Perustiedot!$C$17*Perustiedot!$C$19*D42</f>
        <v>240.56603773584905</v>
      </c>
      <c r="K42" s="54">
        <f>Perustiedot!$C$23*D42</f>
        <v>0</v>
      </c>
      <c r="L42" s="21"/>
    </row>
    <row r="43" spans="1:12">
      <c r="A43" s="7" t="str">
        <f>Perustiedot!A7</f>
        <v>metsän reuna</v>
      </c>
      <c r="B43" s="9">
        <f>Perustiedot!B7</f>
        <v>10</v>
      </c>
      <c r="C43" s="18">
        <f>Perustiedot!D7/Perustiedot!$C$31</f>
        <v>4.7169811320754711</v>
      </c>
      <c r="D43" s="18">
        <f>C43*B43</f>
        <v>47.169811320754711</v>
      </c>
      <c r="E43" s="18">
        <f>C43*Perustiedot!$B$31</f>
        <v>7.0754716981132066</v>
      </c>
      <c r="F43" s="18">
        <f>Perustiedot!C7-E43</f>
        <v>97.924528301886795</v>
      </c>
      <c r="G43" s="77">
        <f>B43*F43</f>
        <v>979.24528301886789</v>
      </c>
      <c r="H43" s="53">
        <f>G43/0.27*Perustiedot!$C$21</f>
        <v>1414.4654088050313</v>
      </c>
      <c r="I43" s="53">
        <f>Perustiedot!$C$16*D43</f>
        <v>114.1509433962264</v>
      </c>
      <c r="J43" s="53">
        <f>Perustiedot!$C$17*Perustiedot!$C$19*D43</f>
        <v>80.188679245283012</v>
      </c>
      <c r="K43" s="54">
        <f>Perustiedot!$C$23*D43</f>
        <v>0</v>
      </c>
      <c r="L43" s="21"/>
    </row>
    <row r="44" spans="1:12" s="65" customFormat="1">
      <c r="A44" s="64" t="s">
        <v>50</v>
      </c>
      <c r="B44" s="59">
        <f>SUM(B39:B43)</f>
        <v>46</v>
      </c>
      <c r="C44" s="68">
        <f>SUM(C39:C43)</f>
        <v>34.905660377358487</v>
      </c>
      <c r="D44" s="68">
        <f>SUM(D39:D43)</f>
        <v>338.67924528301882</v>
      </c>
      <c r="E44" s="68"/>
      <c r="F44" s="68"/>
      <c r="G44" s="68"/>
      <c r="H44" s="60">
        <f>SUM(H39:H43)</f>
        <v>6647.3060796645705</v>
      </c>
      <c r="I44" s="60">
        <f>SUM(I39:I43)</f>
        <v>819.60377358490553</v>
      </c>
      <c r="J44" s="60">
        <f>SUM(J39:J43)</f>
        <v>575.75471698113199</v>
      </c>
      <c r="K44" s="60">
        <f>SUM(K39:K43)</f>
        <v>0</v>
      </c>
      <c r="L44" s="74"/>
    </row>
    <row r="47" spans="1:12" ht="17.25">
      <c r="A47" s="34" t="s">
        <v>45</v>
      </c>
      <c r="B47" s="2"/>
      <c r="C47" s="10" t="s">
        <v>17</v>
      </c>
      <c r="D47" s="2"/>
      <c r="E47" s="33">
        <f>H55+I55+J55+K55-L55</f>
        <v>7865.1587301587297</v>
      </c>
      <c r="H47" s="2"/>
      <c r="I47" s="2"/>
      <c r="J47" s="2"/>
      <c r="K47" s="2"/>
      <c r="L47" s="2"/>
    </row>
    <row r="48" spans="1:12">
      <c r="A48" s="2"/>
      <c r="B48" s="2"/>
      <c r="C48" s="2"/>
      <c r="D48" s="2"/>
      <c r="E48" s="2"/>
      <c r="F48" s="2"/>
      <c r="G48" s="2"/>
      <c r="H48" s="2"/>
      <c r="I48" s="97" t="s">
        <v>65</v>
      </c>
      <c r="J48" s="97"/>
      <c r="K48" s="97"/>
      <c r="L48" s="98" t="s">
        <v>64</v>
      </c>
    </row>
    <row r="49" spans="1:12" ht="15" customHeight="1">
      <c r="A49" s="2" t="s">
        <v>60</v>
      </c>
      <c r="B49" s="1" t="s">
        <v>61</v>
      </c>
      <c r="C49" s="2" t="s">
        <v>4</v>
      </c>
      <c r="D49" s="2" t="s">
        <v>8</v>
      </c>
      <c r="E49" s="2" t="s">
        <v>57</v>
      </c>
      <c r="F49" s="2" t="s">
        <v>66</v>
      </c>
      <c r="G49" s="2" t="s">
        <v>67</v>
      </c>
      <c r="H49" s="2" t="s">
        <v>68</v>
      </c>
      <c r="I49" s="3" t="s">
        <v>54</v>
      </c>
      <c r="J49" s="3" t="s">
        <v>55</v>
      </c>
      <c r="K49" s="3" t="s">
        <v>56</v>
      </c>
      <c r="L49" s="99"/>
    </row>
    <row r="50" spans="1:12">
      <c r="A50" s="7" t="str">
        <f>Perustiedot!A3</f>
        <v>kotopelto</v>
      </c>
      <c r="B50" s="9">
        <f>Perustiedot!B3</f>
        <v>9</v>
      </c>
      <c r="C50" s="18">
        <f>Perustiedot!D3/Perustiedot!$C$32</f>
        <v>40.476190476190474</v>
      </c>
      <c r="D50" s="18">
        <f>C50*B50</f>
        <v>364.28571428571428</v>
      </c>
      <c r="E50" s="18">
        <f>C50*Perustiedot!$B$32</f>
        <v>72.857142857142861</v>
      </c>
      <c r="F50" s="18">
        <f>Perustiedot!C3-E50</f>
        <v>57.142857142857139</v>
      </c>
      <c r="G50" s="77">
        <f>B50*F50</f>
        <v>514.28571428571422</v>
      </c>
      <c r="H50" s="53">
        <f>G50/0.27*Perustiedot!$C$21</f>
        <v>742.85714285714278</v>
      </c>
      <c r="I50" s="53">
        <f>Perustiedot!$C$15*D50</f>
        <v>979.92857142857133</v>
      </c>
      <c r="J50" s="53">
        <f>Perustiedot!$C$17*Perustiedot!$C$19*D50</f>
        <v>619.28571428571433</v>
      </c>
      <c r="K50" s="53">
        <f>Perustiedot!$C$23*D50</f>
        <v>0</v>
      </c>
      <c r="L50" s="71">
        <f>IF(C50=0,"0 €",IF(C50&gt;0,B50*Perustiedot!$C$25))</f>
        <v>504</v>
      </c>
    </row>
    <row r="51" spans="1:12">
      <c r="A51" s="7" t="str">
        <f>Perustiedot!A4</f>
        <v>rantalohko</v>
      </c>
      <c r="B51" s="9">
        <f>Perustiedot!B4</f>
        <v>7</v>
      </c>
      <c r="C51" s="18">
        <f>Perustiedot!D4/Perustiedot!$C$32</f>
        <v>35.714285714285715</v>
      </c>
      <c r="D51" s="67">
        <f>C51*B51</f>
        <v>250</v>
      </c>
      <c r="E51" s="18">
        <f>C51*Perustiedot!$B$32</f>
        <v>64.285714285714292</v>
      </c>
      <c r="F51" s="18">
        <f>Perustiedot!C4-E51</f>
        <v>25.714285714285708</v>
      </c>
      <c r="G51" s="78">
        <f>B51*F51</f>
        <v>179.99999999999994</v>
      </c>
      <c r="H51" s="53">
        <f>G51/0.27*Perustiedot!$C$21</f>
        <v>259.99999999999989</v>
      </c>
      <c r="I51" s="72">
        <f>Perustiedot!$C$15*D51</f>
        <v>672.5</v>
      </c>
      <c r="J51" s="72">
        <f>Perustiedot!$C$17*Perustiedot!$C$19*D51</f>
        <v>425.00000000000006</v>
      </c>
      <c r="K51" s="73">
        <f>Perustiedot!$C$23*D51</f>
        <v>0</v>
      </c>
      <c r="L51" s="71">
        <f>IF(C51=0,"0 €",IF(C51&gt;0,B51*Perustiedot!$C$25))</f>
        <v>392</v>
      </c>
    </row>
    <row r="52" spans="1:12">
      <c r="A52" s="7" t="str">
        <f>Perustiedot!A5</f>
        <v>pikkuinen</v>
      </c>
      <c r="B52" s="9">
        <f>Perustiedot!B5</f>
        <v>5</v>
      </c>
      <c r="C52" s="18">
        <f>Perustiedot!D5/Perustiedot!$C$32</f>
        <v>28.571428571428573</v>
      </c>
      <c r="D52" s="18">
        <f>C52*B52</f>
        <v>142.85714285714286</v>
      </c>
      <c r="E52" s="18">
        <f>C52*Perustiedot!$B$32</f>
        <v>51.428571428571431</v>
      </c>
      <c r="F52" s="18">
        <f>Perustiedot!C5-E52</f>
        <v>40.571428571428569</v>
      </c>
      <c r="G52" s="77">
        <f>B52*F52</f>
        <v>202.85714285714283</v>
      </c>
      <c r="H52" s="53">
        <f>G52/0.27*Perustiedot!$C$21</f>
        <v>293.01587301587296</v>
      </c>
      <c r="I52" s="53">
        <f>Perustiedot!$C$15*D52</f>
        <v>384.28571428571428</v>
      </c>
      <c r="J52" s="53">
        <f>Perustiedot!$C$17*Perustiedot!$C$19*D52</f>
        <v>242.85714285714289</v>
      </c>
      <c r="K52" s="53">
        <f>Perustiedot!$C$23*D52</f>
        <v>0</v>
      </c>
      <c r="L52" s="71">
        <f>IF(C52=0,"0 €",IF(C52&gt;0,B52*Perustiedot!$C$25))</f>
        <v>280</v>
      </c>
    </row>
    <row r="53" spans="1:12">
      <c r="A53" s="7" t="str">
        <f>Perustiedot!A6</f>
        <v>vanha niitty</v>
      </c>
      <c r="B53" s="9">
        <f>Perustiedot!B6</f>
        <v>15</v>
      </c>
      <c r="C53" s="18">
        <f>Perustiedot!D6/Perustiedot!$C$32</f>
        <v>47.61904761904762</v>
      </c>
      <c r="D53" s="67">
        <f>C53*B53</f>
        <v>714.28571428571433</v>
      </c>
      <c r="E53" s="18">
        <f>C53*Perustiedot!$B$32</f>
        <v>85.714285714285722</v>
      </c>
      <c r="F53" s="18">
        <f>Perustiedot!C6-E53</f>
        <v>34.285714285714278</v>
      </c>
      <c r="G53" s="78">
        <f>B53*F53</f>
        <v>514.28571428571422</v>
      </c>
      <c r="H53" s="53">
        <f>G53/0.27*Perustiedot!$C$21</f>
        <v>742.85714285714278</v>
      </c>
      <c r="I53" s="72">
        <f>Perustiedot!$C$15*D53</f>
        <v>1921.4285714285716</v>
      </c>
      <c r="J53" s="72">
        <f>Perustiedot!$C$17*Perustiedot!$C$19*D53</f>
        <v>1214.2857142857144</v>
      </c>
      <c r="K53" s="73">
        <f>Perustiedot!$C$23*D53</f>
        <v>0</v>
      </c>
      <c r="L53" s="71">
        <f>IF(C53=0,"0 €",IF(C53&gt;0,B53*Perustiedot!$C$25))</f>
        <v>840</v>
      </c>
    </row>
    <row r="54" spans="1:12">
      <c r="A54" s="7" t="str">
        <f>Perustiedot!A7</f>
        <v>metsän reuna</v>
      </c>
      <c r="B54" s="9">
        <f>Perustiedot!B7</f>
        <v>10</v>
      </c>
      <c r="C54" s="18">
        <f>Perustiedot!D7/Perustiedot!$C$32</f>
        <v>23.80952380952381</v>
      </c>
      <c r="D54" s="18">
        <f>C54*B54</f>
        <v>238.0952380952381</v>
      </c>
      <c r="E54" s="18">
        <f>C54*Perustiedot!$B$32</f>
        <v>42.857142857142861</v>
      </c>
      <c r="F54" s="18">
        <f>Perustiedot!C7-E54</f>
        <v>62.142857142857139</v>
      </c>
      <c r="G54" s="77">
        <f>B54*F54</f>
        <v>621.42857142857133</v>
      </c>
      <c r="H54" s="53">
        <f>G54/0.27*Perustiedot!$C$21</f>
        <v>897.61904761904748</v>
      </c>
      <c r="I54" s="53">
        <f>Perustiedot!$C$15*D54</f>
        <v>640.47619047619048</v>
      </c>
      <c r="J54" s="53">
        <f>Perustiedot!$C$17*Perustiedot!$C$19*D54</f>
        <v>404.76190476190482</v>
      </c>
      <c r="K54" s="53">
        <f>Perustiedot!$C$23*D54</f>
        <v>0</v>
      </c>
      <c r="L54" s="71">
        <f>IF(C54=0,"0 €",IF(C54&gt;0,B54*Perustiedot!$C$25))</f>
        <v>560</v>
      </c>
    </row>
    <row r="55" spans="1:12" s="65" customFormat="1">
      <c r="A55" s="75" t="s">
        <v>50</v>
      </c>
      <c r="B55" s="59">
        <f>SUM(B50:B54)</f>
        <v>46</v>
      </c>
      <c r="C55" s="68">
        <f>SUM(C50:C54)</f>
        <v>176.1904761904762</v>
      </c>
      <c r="D55" s="68">
        <f>SUM(D50:D54)</f>
        <v>1709.5238095238096</v>
      </c>
      <c r="E55" s="68"/>
      <c r="F55" s="68"/>
      <c r="G55" s="68"/>
      <c r="H55" s="60">
        <f>SUM(H50:H54)</f>
        <v>2936.3492063492058</v>
      </c>
      <c r="I55" s="60">
        <f>SUM(I50:I54)</f>
        <v>4598.6190476190477</v>
      </c>
      <c r="J55" s="60">
        <f>SUM(J50:J54)</f>
        <v>2906.1904761904761</v>
      </c>
      <c r="K55" s="60">
        <f>SUM(K50:K54)</f>
        <v>0</v>
      </c>
      <c r="L55" s="60">
        <f>SUM(L50:L54)</f>
        <v>2576</v>
      </c>
    </row>
    <row r="58" spans="1:12" ht="17.25">
      <c r="A58" s="34" t="s">
        <v>46</v>
      </c>
      <c r="B58" s="2"/>
      <c r="C58" s="10" t="s">
        <v>17</v>
      </c>
      <c r="D58" s="2"/>
      <c r="E58" s="33">
        <f>H66+I66+J66+K66</f>
        <v>9061.1372549019597</v>
      </c>
      <c r="H58" s="2"/>
      <c r="I58" s="2"/>
      <c r="J58" s="2"/>
      <c r="K58" s="2"/>
      <c r="L58" s="2"/>
    </row>
    <row r="59" spans="1:12">
      <c r="A59" s="2"/>
      <c r="B59" s="2"/>
      <c r="C59" s="2"/>
      <c r="D59" s="2"/>
      <c r="E59" s="2"/>
      <c r="F59" s="2"/>
      <c r="G59" s="2"/>
      <c r="H59" s="2"/>
      <c r="I59" s="97" t="s">
        <v>65</v>
      </c>
      <c r="J59" s="97"/>
      <c r="K59" s="97"/>
      <c r="L59" s="2"/>
    </row>
    <row r="60" spans="1:12">
      <c r="A60" s="2" t="s">
        <v>60</v>
      </c>
      <c r="B60" s="1" t="s">
        <v>61</v>
      </c>
      <c r="C60" s="2" t="s">
        <v>4</v>
      </c>
      <c r="D60" s="2" t="s">
        <v>8</v>
      </c>
      <c r="E60" s="2" t="s">
        <v>57</v>
      </c>
      <c r="F60" s="2" t="s">
        <v>66</v>
      </c>
      <c r="G60" s="2" t="s">
        <v>67</v>
      </c>
      <c r="H60" s="2" t="s">
        <v>68</v>
      </c>
      <c r="I60" s="2" t="s">
        <v>69</v>
      </c>
      <c r="J60" s="2" t="s">
        <v>55</v>
      </c>
      <c r="K60" s="2" t="s">
        <v>56</v>
      </c>
      <c r="L60" s="3"/>
    </row>
    <row r="61" spans="1:12">
      <c r="A61" s="7" t="str">
        <f>Perustiedot!A3</f>
        <v>kotopelto</v>
      </c>
      <c r="B61" s="9">
        <f>Perustiedot!B3</f>
        <v>9</v>
      </c>
      <c r="C61" s="18">
        <f>Perustiedot!D3/Perustiedot!$C$33</f>
        <v>16.666666666666668</v>
      </c>
      <c r="D61" s="18">
        <f>C61*B61</f>
        <v>150</v>
      </c>
      <c r="E61" s="18">
        <f>C61*Perustiedot!$B$33</f>
        <v>20</v>
      </c>
      <c r="F61" s="18">
        <f>Perustiedot!C3-E61</f>
        <v>110</v>
      </c>
      <c r="G61" s="77">
        <f>B61*F61</f>
        <v>990</v>
      </c>
      <c r="H61" s="53">
        <f>G61/0.27*Perustiedot!$C$21</f>
        <v>1430</v>
      </c>
      <c r="I61" s="53">
        <f>Perustiedot!$C$16*D61</f>
        <v>363</v>
      </c>
      <c r="J61" s="53">
        <f>Perustiedot!$C$17*Perustiedot!$C$19*D61</f>
        <v>255.00000000000003</v>
      </c>
      <c r="K61" s="54">
        <f>Perustiedot!$C$23*D61</f>
        <v>0</v>
      </c>
      <c r="L61" s="21"/>
    </row>
    <row r="62" spans="1:12">
      <c r="A62" s="7" t="str">
        <f>Perustiedot!A4</f>
        <v>rantalohko</v>
      </c>
      <c r="B62" s="9">
        <f>Perustiedot!B4</f>
        <v>7</v>
      </c>
      <c r="C62" s="18">
        <f>Perustiedot!D4/Perustiedot!$C$33</f>
        <v>14.705882352941176</v>
      </c>
      <c r="D62" s="67">
        <f>C62*B62</f>
        <v>102.94117647058823</v>
      </c>
      <c r="E62" s="18">
        <f>C62*Perustiedot!$B$33</f>
        <v>17.647058823529409</v>
      </c>
      <c r="F62" s="18">
        <f>Perustiedot!C4-E62</f>
        <v>72.352941176470594</v>
      </c>
      <c r="G62" s="78">
        <f>B62*F62</f>
        <v>506.47058823529414</v>
      </c>
      <c r="H62" s="53">
        <f>G62/0.27*Perustiedot!$C$21</f>
        <v>731.56862745098044</v>
      </c>
      <c r="I62" s="53">
        <f>Perustiedot!$C$16*D62</f>
        <v>249.11764705882351</v>
      </c>
      <c r="J62" s="72">
        <f>Perustiedot!$C$17*Perustiedot!$C$19*D62</f>
        <v>175</v>
      </c>
      <c r="K62" s="76">
        <f>Perustiedot!$C$23*D62</f>
        <v>0</v>
      </c>
      <c r="L62" s="21"/>
    </row>
    <row r="63" spans="1:12">
      <c r="A63" s="7" t="str">
        <f>Perustiedot!A5</f>
        <v>pikkuinen</v>
      </c>
      <c r="B63" s="9">
        <f>Perustiedot!B5</f>
        <v>5</v>
      </c>
      <c r="C63" s="18">
        <f>Perustiedot!D5/Perustiedot!$C$33</f>
        <v>11.76470588235294</v>
      </c>
      <c r="D63" s="18">
        <f>C63*B63</f>
        <v>58.823529411764703</v>
      </c>
      <c r="E63" s="18">
        <f>C63*Perustiedot!$B$33</f>
        <v>14.117647058823527</v>
      </c>
      <c r="F63" s="18">
        <f>Perustiedot!C5-E63</f>
        <v>77.882352941176478</v>
      </c>
      <c r="G63" s="77">
        <f>B63*F63</f>
        <v>389.41176470588238</v>
      </c>
      <c r="H63" s="53">
        <f>G63/0.27*Perustiedot!$C$21</f>
        <v>562.48366013071893</v>
      </c>
      <c r="I63" s="53">
        <f>Perustiedot!$C$16*D63</f>
        <v>142.35294117647058</v>
      </c>
      <c r="J63" s="53">
        <f>Perustiedot!$C$17*Perustiedot!$C$19*D63</f>
        <v>100</v>
      </c>
      <c r="K63" s="54">
        <f>Perustiedot!$C$23*D63</f>
        <v>0</v>
      </c>
      <c r="L63" s="21"/>
    </row>
    <row r="64" spans="1:12">
      <c r="A64" s="7" t="str">
        <f>Perustiedot!A6</f>
        <v>vanha niitty</v>
      </c>
      <c r="B64" s="9">
        <f>Perustiedot!B6</f>
        <v>15</v>
      </c>
      <c r="C64" s="18">
        <f>Perustiedot!D6/Perustiedot!$C$33</f>
        <v>19.607843137254903</v>
      </c>
      <c r="D64" s="67">
        <f>C64*B64</f>
        <v>294.11764705882354</v>
      </c>
      <c r="E64" s="18">
        <f>C64*Perustiedot!$B$33</f>
        <v>23.529411764705884</v>
      </c>
      <c r="F64" s="18">
        <f>Perustiedot!C6-E64</f>
        <v>96.470588235294116</v>
      </c>
      <c r="G64" s="78">
        <f>B64*F64</f>
        <v>1447.0588235294117</v>
      </c>
      <c r="H64" s="53">
        <f>G64/0.27*Perustiedot!$C$21</f>
        <v>2090.1960784313724</v>
      </c>
      <c r="I64" s="53">
        <f>Perustiedot!$C$16*D64</f>
        <v>711.76470588235293</v>
      </c>
      <c r="J64" s="72">
        <f>Perustiedot!$C$17*Perustiedot!$C$19*D64</f>
        <v>500.00000000000006</v>
      </c>
      <c r="K64" s="76">
        <f>Perustiedot!$C$23*D64</f>
        <v>0</v>
      </c>
      <c r="L64" s="21"/>
    </row>
    <row r="65" spans="1:12">
      <c r="A65" s="7" t="str">
        <f>Perustiedot!A7</f>
        <v>metsän reuna</v>
      </c>
      <c r="B65" s="9">
        <f>Perustiedot!B7</f>
        <v>10</v>
      </c>
      <c r="C65" s="18">
        <f>Perustiedot!D7/Perustiedot!$C$33</f>
        <v>9.8039215686274517</v>
      </c>
      <c r="D65" s="18">
        <f>C65*B65</f>
        <v>98.039215686274517</v>
      </c>
      <c r="E65" s="18">
        <f>C65*Perustiedot!$B$33</f>
        <v>11.764705882352942</v>
      </c>
      <c r="F65" s="18">
        <f>Perustiedot!C7-E65</f>
        <v>93.235294117647058</v>
      </c>
      <c r="G65" s="77">
        <f>B65*F65</f>
        <v>932.35294117647061</v>
      </c>
      <c r="H65" s="53">
        <f>G65/0.27*Perustiedot!$C$21</f>
        <v>1346.7320261437908</v>
      </c>
      <c r="I65" s="53">
        <f>Perustiedot!$C$16*D65</f>
        <v>237.25490196078434</v>
      </c>
      <c r="J65" s="53">
        <f>Perustiedot!$C$17*Perustiedot!$C$19*D65</f>
        <v>166.66666666666669</v>
      </c>
      <c r="K65" s="54">
        <f>Perustiedot!$C$23*D65</f>
        <v>0</v>
      </c>
      <c r="L65" s="21"/>
    </row>
    <row r="66" spans="1:12" s="65" customFormat="1">
      <c r="A66" s="75" t="s">
        <v>50</v>
      </c>
      <c r="B66" s="59">
        <f>SUM(B61:B65)</f>
        <v>46</v>
      </c>
      <c r="C66" s="68">
        <f>SUM(C61:C65)</f>
        <v>72.54901960784315</v>
      </c>
      <c r="D66" s="68">
        <f>SUM(D61:D65)</f>
        <v>703.92156862745094</v>
      </c>
      <c r="E66" s="68"/>
      <c r="F66" s="68"/>
      <c r="G66" s="68"/>
      <c r="H66" s="60">
        <f>SUM(H61:H65)</f>
        <v>6160.9803921568619</v>
      </c>
      <c r="I66" s="60">
        <f>SUM(I61:I65)</f>
        <v>1703.4901960784314</v>
      </c>
      <c r="J66" s="60">
        <f>SUM(J61:J65)</f>
        <v>1196.6666666666667</v>
      </c>
      <c r="K66" s="60">
        <f>SUM(K61:K65)</f>
        <v>0</v>
      </c>
      <c r="L66" s="74"/>
    </row>
    <row r="69" spans="1:12" ht="17.25">
      <c r="A69" s="34" t="s">
        <v>47</v>
      </c>
      <c r="B69" s="2"/>
      <c r="C69" s="10" t="s">
        <v>17</v>
      </c>
      <c r="D69" s="2"/>
      <c r="E69" s="33">
        <f>H77+I77+J77+K77</f>
        <v>6924.2020202020194</v>
      </c>
      <c r="H69" s="2"/>
      <c r="I69" s="2"/>
      <c r="J69" s="2"/>
      <c r="K69" s="2"/>
      <c r="L69" s="2"/>
    </row>
    <row r="70" spans="1:12">
      <c r="A70" s="2"/>
      <c r="B70" s="2"/>
      <c r="C70" s="2"/>
      <c r="D70" s="2"/>
      <c r="E70" s="2"/>
      <c r="F70" s="2"/>
      <c r="G70" s="2"/>
      <c r="H70" s="2"/>
      <c r="I70" s="97" t="s">
        <v>65</v>
      </c>
      <c r="J70" s="97"/>
      <c r="K70" s="97"/>
      <c r="L70" s="2"/>
    </row>
    <row r="71" spans="1:12">
      <c r="A71" s="2" t="s">
        <v>60</v>
      </c>
      <c r="B71" s="1" t="s">
        <v>61</v>
      </c>
      <c r="C71" s="2" t="s">
        <v>4</v>
      </c>
      <c r="D71" s="2" t="s">
        <v>8</v>
      </c>
      <c r="E71" s="2" t="s">
        <v>57</v>
      </c>
      <c r="F71" s="2" t="s">
        <v>66</v>
      </c>
      <c r="G71" s="2" t="s">
        <v>67</v>
      </c>
      <c r="H71" s="2" t="s">
        <v>68</v>
      </c>
      <c r="I71" s="2" t="s">
        <v>69</v>
      </c>
      <c r="J71" s="2" t="s">
        <v>55</v>
      </c>
      <c r="K71" s="2" t="s">
        <v>56</v>
      </c>
      <c r="L71" s="2"/>
    </row>
    <row r="72" spans="1:12">
      <c r="A72" s="7" t="str">
        <f>Perustiedot!A3</f>
        <v>kotopelto</v>
      </c>
      <c r="B72" s="9">
        <f>Perustiedot!B3</f>
        <v>9</v>
      </c>
      <c r="C72" s="18">
        <f>Perustiedot!D3/Perustiedot!$C$34</f>
        <v>4.545454545454545</v>
      </c>
      <c r="D72" s="18">
        <f>C72*B72</f>
        <v>40.909090909090907</v>
      </c>
      <c r="E72" s="18">
        <f>C72*Perustiedot!$B$34</f>
        <v>20.454545454545453</v>
      </c>
      <c r="F72" s="18">
        <f>Perustiedot!C3-E72</f>
        <v>109.54545454545455</v>
      </c>
      <c r="G72" s="77">
        <f>B72*F72</f>
        <v>985.90909090909088</v>
      </c>
      <c r="H72" s="53">
        <f>G72/0.27*Perustiedot!$C$21</f>
        <v>1424.090909090909</v>
      </c>
      <c r="I72" s="53">
        <f>Perustiedot!$C$16*D72</f>
        <v>98.999999999999986</v>
      </c>
      <c r="J72" s="53">
        <f>Perustiedot!$C$17*Perustiedot!$C$19*D72</f>
        <v>69.545454545454547</v>
      </c>
      <c r="K72" s="53">
        <f>Perustiedot!$C$23*D72</f>
        <v>0</v>
      </c>
      <c r="L72" s="22"/>
    </row>
    <row r="73" spans="1:12">
      <c r="A73" s="7" t="str">
        <f>Perustiedot!A4</f>
        <v>rantalohko</v>
      </c>
      <c r="B73" s="9">
        <f>Perustiedot!B4</f>
        <v>7</v>
      </c>
      <c r="C73" s="18">
        <f>Perustiedot!D4/Perustiedot!$C$34</f>
        <v>4.0106951871657754</v>
      </c>
      <c r="D73" s="67">
        <f>C73*B73</f>
        <v>28.074866310160427</v>
      </c>
      <c r="E73" s="18">
        <f>C73*Perustiedot!$B$34</f>
        <v>18.048128342245988</v>
      </c>
      <c r="F73" s="18">
        <f>Perustiedot!C4-E73</f>
        <v>71.951871657754012</v>
      </c>
      <c r="G73" s="78">
        <f>B73*F73</f>
        <v>503.6631016042781</v>
      </c>
      <c r="H73" s="53">
        <f>G73/0.27*Perustiedot!$C$21</f>
        <v>727.51336898395721</v>
      </c>
      <c r="I73" s="53">
        <f>Perustiedot!$C$16*D73</f>
        <v>67.941176470588232</v>
      </c>
      <c r="J73" s="72">
        <f>Perustiedot!$C$17*Perustiedot!$C$19*D73</f>
        <v>47.727272727272734</v>
      </c>
      <c r="K73" s="73">
        <f>Perustiedot!$C$23*D73</f>
        <v>0</v>
      </c>
      <c r="L73" s="22"/>
    </row>
    <row r="74" spans="1:12">
      <c r="A74" s="7" t="str">
        <f>Perustiedot!A5</f>
        <v>pikkuinen</v>
      </c>
      <c r="B74" s="9">
        <f>Perustiedot!B5</f>
        <v>5</v>
      </c>
      <c r="C74" s="18">
        <f>Perustiedot!D5/Perustiedot!$C$34</f>
        <v>3.2085561497326203</v>
      </c>
      <c r="D74" s="18">
        <f>C74*B74</f>
        <v>16.042780748663102</v>
      </c>
      <c r="E74" s="18">
        <f>C74*Perustiedot!$B$34</f>
        <v>14.438502673796791</v>
      </c>
      <c r="F74" s="18">
        <f>Perustiedot!C5-E74</f>
        <v>77.561497326203209</v>
      </c>
      <c r="G74" s="77">
        <f>B74*F74</f>
        <v>387.80748663101605</v>
      </c>
      <c r="H74" s="53">
        <f>G74/0.27*Perustiedot!$C$21</f>
        <v>560.16636957813421</v>
      </c>
      <c r="I74" s="53">
        <f>Perustiedot!$C$16*D74</f>
        <v>38.823529411764703</v>
      </c>
      <c r="J74" s="53">
        <f>Perustiedot!$C$17*Perustiedot!$C$19*D74</f>
        <v>27.272727272727277</v>
      </c>
      <c r="K74" s="53">
        <f>Perustiedot!$C$23*D74</f>
        <v>0</v>
      </c>
      <c r="L74" s="22"/>
    </row>
    <row r="75" spans="1:12">
      <c r="A75" s="7" t="str">
        <f>Perustiedot!A6</f>
        <v>vanha niitty</v>
      </c>
      <c r="B75" s="9">
        <f>Perustiedot!B6</f>
        <v>15</v>
      </c>
      <c r="C75" s="18">
        <f>Perustiedot!D6/Perustiedot!$C$34</f>
        <v>5.3475935828877006</v>
      </c>
      <c r="D75" s="67">
        <f>C75*B75</f>
        <v>80.213903743315512</v>
      </c>
      <c r="E75" s="18">
        <f>C75*Perustiedot!$B$34</f>
        <v>24.064171122994651</v>
      </c>
      <c r="F75" s="18">
        <f>Perustiedot!C6-E75</f>
        <v>95.935828877005349</v>
      </c>
      <c r="G75" s="78">
        <f>B75*F75</f>
        <v>1439.0374331550802</v>
      </c>
      <c r="H75" s="53">
        <f>G75/0.27*Perustiedot!$C$21</f>
        <v>2078.6096256684491</v>
      </c>
      <c r="I75" s="53">
        <f>Perustiedot!$C$16*D75</f>
        <v>194.11764705882354</v>
      </c>
      <c r="J75" s="72">
        <f>Perustiedot!$C$17*Perustiedot!$C$19*D75</f>
        <v>136.36363636363637</v>
      </c>
      <c r="K75" s="73">
        <f>Perustiedot!$C$23*D75</f>
        <v>0</v>
      </c>
      <c r="L75" s="22"/>
    </row>
    <row r="76" spans="1:12">
      <c r="A76" s="7" t="str">
        <f>Perustiedot!A7</f>
        <v>metsän reuna</v>
      </c>
      <c r="B76" s="9">
        <f>Perustiedot!B7</f>
        <v>10</v>
      </c>
      <c r="C76" s="18">
        <f>Perustiedot!D7/Perustiedot!$C$34</f>
        <v>2.6737967914438503</v>
      </c>
      <c r="D76" s="18">
        <f>C76*B76</f>
        <v>26.737967914438503</v>
      </c>
      <c r="E76" s="18">
        <f>C76*Perustiedot!$B$34</f>
        <v>12.032085561497325</v>
      </c>
      <c r="F76" s="18">
        <f>Perustiedot!C7-E76</f>
        <v>92.967914438502675</v>
      </c>
      <c r="G76" s="77">
        <f>B76*F76</f>
        <v>929.6791443850268</v>
      </c>
      <c r="H76" s="53">
        <f>G76/0.27*Perustiedot!$C$21</f>
        <v>1342.8698752228165</v>
      </c>
      <c r="I76" s="53">
        <f>Perustiedot!$C$16*D76</f>
        <v>64.705882352941174</v>
      </c>
      <c r="J76" s="53">
        <f>Perustiedot!$C$17*Perustiedot!$C$19*D76</f>
        <v>45.45454545454546</v>
      </c>
      <c r="K76" s="53">
        <f>Perustiedot!$C$23*D76</f>
        <v>0</v>
      </c>
      <c r="L76" s="22"/>
    </row>
    <row r="77" spans="1:12" s="65" customFormat="1">
      <c r="A77" s="75" t="s">
        <v>50</v>
      </c>
      <c r="B77" s="59">
        <f>SUM(B72:B76)</f>
        <v>46</v>
      </c>
      <c r="C77" s="68">
        <f>SUM(C72:C76)</f>
        <v>19.786096256684488</v>
      </c>
      <c r="D77" s="68">
        <f>SUM(D72:D76)</f>
        <v>191.97860962566847</v>
      </c>
      <c r="E77" s="68"/>
      <c r="F77" s="68"/>
      <c r="G77" s="68"/>
      <c r="H77" s="60">
        <f>SUM(H72:H76)</f>
        <v>6133.2501485442654</v>
      </c>
      <c r="I77" s="60">
        <f>SUM(I72:I76)</f>
        <v>464.58823529411762</v>
      </c>
      <c r="J77" s="60">
        <f>SUM(J72:J76)</f>
        <v>326.36363636363637</v>
      </c>
      <c r="K77" s="60">
        <f>SUM(K72:K76)</f>
        <v>0</v>
      </c>
      <c r="L77" s="66"/>
    </row>
  </sheetData>
  <mergeCells count="7">
    <mergeCell ref="I59:K59"/>
    <mergeCell ref="I70:K70"/>
    <mergeCell ref="I27:K27"/>
    <mergeCell ref="L27:L28"/>
    <mergeCell ref="I37:K37"/>
    <mergeCell ref="L48:L49"/>
    <mergeCell ref="I48:K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Ohjeet</vt:lpstr>
      <vt:lpstr>Perustiedot</vt:lpstr>
      <vt:lpstr>LANTA</vt:lpstr>
      <vt:lpstr>Kustannusten vertailu</vt:lpstr>
    </vt:vector>
  </TitlesOfParts>
  <Company>Aluehallinto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A016222</dc:creator>
  <cp:lastModifiedBy>A016222</cp:lastModifiedBy>
  <cp:lastPrinted>2013-02-15T09:29:04Z</cp:lastPrinted>
  <dcterms:created xsi:type="dcterms:W3CDTF">2012-12-11T08:03:07Z</dcterms:created>
  <dcterms:modified xsi:type="dcterms:W3CDTF">2013-09-18T10:20:14Z</dcterms:modified>
</cp:coreProperties>
</file>